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0" windowWidth="16420" windowHeight="8200" tabRatio="803" activeTab="1"/>
  </bookViews>
  <sheets>
    <sheet name="Règles d'utilisation" sheetId="1" r:id="rId1"/>
    <sheet name="Descriptif initial" sheetId="2" r:id="rId2"/>
    <sheet name="Consommation appareils" sheetId="3" r:id="rId3"/>
    <sheet name="Conso déplacement" sheetId="4" r:id="rId4"/>
    <sheet name="Impact modifs comportements" sheetId="5" state="hidden" r:id="rId5"/>
    <sheet name="Check list visite" sheetId="6" r:id="rId6"/>
    <sheet name="Impression appareils" sheetId="7" r:id="rId7"/>
    <sheet name="Bases calculs conso habitat " sheetId="8" state="hidden" r:id="rId8"/>
    <sheet name="Hypothèses de calculs " sheetId="9" r:id="rId9"/>
    <sheet name="Contacts" sheetId="10" r:id="rId10"/>
  </sheets>
  <definedNames>
    <definedName name="Energie">'Bases calculs conso habitat '!$L$1:$L$9</definedName>
    <definedName name="Energie_4">'Conso déplacement'!$H$6:$H$11</definedName>
    <definedName name="Excel_BuiltIn_Print_Titles_6">'Check list visite'!#REF!</definedName>
    <definedName name="Impression">('Consommation appareils'!$B$35:$D$145,'Consommation appareils'!$F$35:$G$145,'Consommation appareils'!$J$34:$P$145)</definedName>
    <definedName name="_xlnm.Print_Titles" localSheetId="6">'Impression appareils'!$7:$8</definedName>
    <definedName name="niveauisolation">'Bases calculs conso habitat '!$A$19:$A$22</definedName>
    <definedName name="TypeHabitation">'Bases calculs conso habitat '!$N$1:$N$2</definedName>
    <definedName name="TypeHabitation_4">'Conso déplacement'!$J$6:$J$7</definedName>
    <definedName name="_xlnm.Print_Area" localSheetId="5">'Check list visite'!$A$1:$S$262</definedName>
    <definedName name="_xlnm.Print_Area" localSheetId="2">'Consommation appareils'!$B$5:$T$145</definedName>
  </definedNames>
  <calcPr fullCalcOnLoad="1"/>
</workbook>
</file>

<file path=xl/comments2.xml><?xml version="1.0" encoding="utf-8"?>
<comments xmlns="http://schemas.openxmlformats.org/spreadsheetml/2006/main">
  <authors>
    <author/>
  </authors>
  <commentList>
    <comment ref="C38" authorId="0">
      <text>
        <r>
          <rPr>
            <b/>
            <sz val="8"/>
            <color indexed="8"/>
            <rFont val="Tahoma"/>
            <family val="2"/>
          </rPr>
          <t xml:space="preserve">lave vaisselle 
</t>
        </r>
        <r>
          <rPr>
            <sz val="8"/>
            <color indexed="8"/>
            <rFont val="Tahoma"/>
            <family val="2"/>
          </rPr>
          <t/>
        </r>
      </text>
    </comment>
  </commentList>
</comments>
</file>

<file path=xl/sharedStrings.xml><?xml version="1.0" encoding="utf-8"?>
<sst xmlns="http://schemas.openxmlformats.org/spreadsheetml/2006/main" count="1638" uniqueCount="787">
  <si>
    <t>Mesures enertech</t>
  </si>
  <si>
    <t>Appareil A+ A++ (Sèche linge : C)</t>
  </si>
  <si>
    <t>nb cycles/sem</t>
  </si>
  <si>
    <t>Appareil moyen</t>
  </si>
  <si>
    <t>kWh/cycle</t>
  </si>
  <si>
    <t>l. eau/cycle</t>
  </si>
  <si>
    <t>Type appareil</t>
  </si>
  <si>
    <t>250 l.</t>
  </si>
  <si>
    <t>225 + 80 l.</t>
  </si>
  <si>
    <t>200 l. armoire</t>
  </si>
  <si>
    <t>Lave-linge</t>
  </si>
  <si>
    <t>Lave-vaisselle</t>
  </si>
  <si>
    <t>Sèche-linge</t>
  </si>
  <si>
    <t>TV cathod</t>
  </si>
  <si>
    <t>TV LCD moyenne</t>
  </si>
  <si>
    <t>Moyenne LCD 80/100 cm tableau conso appareils</t>
  </si>
  <si>
    <t>TV LCD neuve 100cm</t>
  </si>
  <si>
    <t>TV Plasma moyenne</t>
  </si>
  <si>
    <t>Moyenne Plasma 100/120 cm tableau conso appareils</t>
  </si>
  <si>
    <t>TV Plasma neuve</t>
  </si>
  <si>
    <t>TV secondaire</t>
  </si>
  <si>
    <t>Ordi fixe ppal</t>
  </si>
  <si>
    <t>UC + Ecran 15' tableau conso appareils</t>
  </si>
  <si>
    <t>Ordi fixe secondaire</t>
  </si>
  <si>
    <t>Ordi portable</t>
  </si>
  <si>
    <t>Téléphone répondeur</t>
  </si>
  <si>
    <t>Veille poste audiovis</t>
  </si>
  <si>
    <t>Veille poste info</t>
  </si>
  <si>
    <t>Feuille "Descriptif initial"</t>
  </si>
  <si>
    <t>Consommations Standards</t>
  </si>
  <si>
    <t xml:space="preserve"> </t>
  </si>
  <si>
    <t xml:space="preserve">Les valeurs utilisées correspondent aux consommations et des temps d'utilisations moyens mesurées par Enertech ou estimés par nos soins (Cf feuille "Consommation des appareils") </t>
  </si>
  <si>
    <t>un réfrigérateur/congélateur</t>
  </si>
  <si>
    <t>un lave-linge, un lave-vaisselle</t>
  </si>
  <si>
    <t>Valeur moyen ADEME</t>
  </si>
  <si>
    <t>une TV cathodique, un démodulateur, un lecteur DVD, un ordinateur fixe, une box ADSL, un téléphone fixe et un téléphone portable, les veilles moyennes mesurées par Enertech pour l'audio visuel et l'information</t>
  </si>
  <si>
    <t>Un aspirateur, une bouilloire, une cafetière, un fer à repasser</t>
  </si>
  <si>
    <t>consommation estimée par poste (kWh/an)</t>
  </si>
  <si>
    <t>Si l'électricité est uniquement utilisée pour l'ECS et les usages spécifiques (tableau "description du logement"):</t>
  </si>
  <si>
    <t>les consommations pour l'ECS correspondent aux heures creuses et les consommations pour les usages spécifiques correspondent aux heures pleines saisies dans le tableau "Consommations annuelles du foyer".</t>
  </si>
  <si>
    <t>Contact</t>
  </si>
  <si>
    <t>Julien Huart - Michaël Charruault</t>
  </si>
  <si>
    <t>Conseil d'Architecture, d'Urbanisme et de l'Environnement</t>
  </si>
  <si>
    <t>CAUE de la Charente</t>
  </si>
  <si>
    <t>31 Bd Besson Bey - 16000 Angoulême</t>
  </si>
  <si>
    <t xml:space="preserve">Tél. : </t>
  </si>
  <si>
    <t>05 45 92 95 93</t>
  </si>
  <si>
    <t xml:space="preserve">Courriel : </t>
  </si>
  <si>
    <t xml:space="preserve">infoenergie.caue16@orange.fr </t>
  </si>
  <si>
    <t>Surface habitable (m2)</t>
  </si>
  <si>
    <t>Comment classeriez vous le ménage ?</t>
  </si>
  <si>
    <r>
      <t>q</t>
    </r>
    <r>
      <rPr>
        <sz val="12"/>
        <color indexed="8"/>
        <rFont val="Calibri"/>
        <family val="2"/>
      </rPr>
      <t xml:space="preserve"> ménage fragile tenant au confort (chauffage constant, impayés)</t>
    </r>
  </si>
  <si>
    <r>
      <t>q</t>
    </r>
    <r>
      <rPr>
        <sz val="12"/>
        <color indexed="8"/>
        <rFont val="Calibri"/>
        <family val="2"/>
      </rPr>
      <t xml:space="preserve"> bricoleurs économes (débrouille, modulation du chauffage, chauffage d'appoint…)</t>
    </r>
  </si>
  <si>
    <r>
      <t>q</t>
    </r>
    <r>
      <rPr>
        <sz val="12"/>
        <color indexed="8"/>
        <rFont val="Calibri"/>
        <family val="2"/>
      </rPr>
      <t xml:space="preserve"> vulnérables résignés (inconfort subi, logement dégradé, chauffage défaillant, mal-être)</t>
    </r>
  </si>
  <si>
    <t>Autres observations :</t>
  </si>
  <si>
    <t>Coût elec / an</t>
  </si>
  <si>
    <t>Coût eau / an</t>
  </si>
  <si>
    <t>6 tasses</t>
  </si>
  <si>
    <t>Piscine hors sol 25 m3</t>
  </si>
  <si>
    <t>Piscine enterrée 80 m3</t>
  </si>
  <si>
    <t>pompe 11h/j</t>
  </si>
  <si>
    <t>Prix kWh</t>
  </si>
  <si>
    <t>Sources</t>
  </si>
  <si>
    <t>fioul</t>
  </si>
  <si>
    <t>Bois bûche</t>
  </si>
  <si>
    <t>mise à jour 1 mars 2012</t>
  </si>
  <si>
    <t>gaz nat</t>
  </si>
  <si>
    <t>Bouteille gaz</t>
  </si>
  <si>
    <t>pétrole</t>
  </si>
  <si>
    <t>Citerne gaz (propane)</t>
  </si>
  <si>
    <t>électricité</t>
  </si>
  <si>
    <t>elec HC</t>
  </si>
  <si>
    <t>elec HP</t>
  </si>
  <si>
    <t>elec simple t.</t>
  </si>
  <si>
    <t>Prix constatés dans le commerce</t>
  </si>
  <si>
    <t>Prix litre eau</t>
  </si>
  <si>
    <t>Agglo Angoulême</t>
  </si>
  <si>
    <t>Coût 2010-2011 SEMEA</t>
  </si>
  <si>
    <t>kWh/m²/an</t>
  </si>
  <si>
    <t>Pas d'isolation</t>
  </si>
  <si>
    <t>Valeurs estimées à partir des données ADEME</t>
  </si>
  <si>
    <t>Isolation de la toiture (ou espace chauffé au-dessus)</t>
  </si>
  <si>
    <t>Isolation de la toiture (ou espace chauffé au-dessus) et isolation des murs</t>
  </si>
  <si>
    <t>Isolation de la toiture et fenêtre double vitrage</t>
  </si>
  <si>
    <t>Conso ECS</t>
  </si>
  <si>
    <t>1000 kWh/an + 700kWh par personne supplémentaire</t>
  </si>
  <si>
    <t>Conso eau moyenne</t>
  </si>
  <si>
    <t>m3/an</t>
  </si>
  <si>
    <t>Conso WC</t>
  </si>
  <si>
    <t>Données issues de la feuille "Consommation appareils" en prenant les valeurs moyennes</t>
  </si>
  <si>
    <t>Conso bains, douches</t>
  </si>
  <si>
    <t>Conso lave-linge, lave-vaisselle</t>
  </si>
  <si>
    <t>Conso divers (vaisselle à la main et autre)</t>
  </si>
  <si>
    <t>Conso eau ménage et boisson</t>
  </si>
  <si>
    <t>Conso cuisson</t>
  </si>
  <si>
    <t>500 kWh/an + 200kWh par personne supplémentaire</t>
  </si>
  <si>
    <t>Four</t>
  </si>
  <si>
    <t>Plaques cuisson fonte</t>
  </si>
  <si>
    <t>Plaques cuisson vitrocéramique</t>
  </si>
  <si>
    <t>Plaques cuisson induction</t>
  </si>
  <si>
    <t>Plaque de gaz</t>
  </si>
  <si>
    <t>hypothèses de rendement des plaques suite à recherche Internet. Valeurs revenants plusieurs fois, plaques fonte 60%, gaz 50%, vitro 70%, induction 95%
Calcul conso gaz à partir conso fonte : 199*1.2 (correspondant à la différence de rendement, 60/50) = 240 kWh (238 précisément). On obtient 240 kWh si on calcul à partir de la vitro (cohérent donc) mais le même calcul avec les conso de l'induction de fonctionne pas (191 kWh)</t>
  </si>
  <si>
    <t>Valeur ADEME</t>
  </si>
  <si>
    <t>hypothèses calcul</t>
  </si>
  <si>
    <t xml:space="preserve">diagonale : </t>
  </si>
  <si>
    <t>cm</t>
  </si>
  <si>
    <t>Téléviseur plasma</t>
  </si>
  <si>
    <r>
      <t>q</t>
    </r>
    <r>
      <rPr>
        <sz val="12"/>
        <color indexed="10"/>
        <rFont val="Calibri"/>
        <family val="2"/>
      </rPr>
      <t xml:space="preserve">  branché 24h/24</t>
    </r>
  </si>
  <si>
    <r>
      <t>q</t>
    </r>
    <r>
      <rPr>
        <sz val="12"/>
        <color indexed="8"/>
        <rFont val="Calibri"/>
        <family val="2"/>
      </rPr>
      <t xml:space="preserve">  éteint quand TV éteinte</t>
    </r>
  </si>
  <si>
    <t>Chaîne hi-fi</t>
  </si>
  <si>
    <r>
      <t>q</t>
    </r>
    <r>
      <rPr>
        <sz val="12"/>
        <color indexed="10"/>
        <rFont val="Calibri"/>
        <family val="2"/>
      </rPr>
      <t xml:space="preserve">  appareils laissés en veille </t>
    </r>
    <r>
      <rPr>
        <sz val="12"/>
        <rFont val="Calibri"/>
        <family val="2"/>
      </rPr>
      <t>hors de leur usage</t>
    </r>
  </si>
  <si>
    <t>Ordinateur fixe</t>
  </si>
  <si>
    <t>unités centrales</t>
  </si>
  <si>
    <t>écrans catho.</t>
  </si>
  <si>
    <t xml:space="preserve">LCD autre taille </t>
  </si>
  <si>
    <t>(préciser :</t>
  </si>
  <si>
    <t>)</t>
  </si>
  <si>
    <t>allumé(s)</t>
  </si>
  <si>
    <r>
      <t>q</t>
    </r>
    <r>
      <rPr>
        <sz val="12"/>
        <color indexed="10"/>
        <rFont val="Calibri"/>
        <family val="2"/>
      </rPr>
      <t xml:space="preserve">  laissés en veille </t>
    </r>
    <r>
      <rPr>
        <sz val="12"/>
        <rFont val="Calibri"/>
        <family val="2"/>
      </rPr>
      <t>hors de leur usage</t>
    </r>
  </si>
  <si>
    <r>
      <t>q</t>
    </r>
    <r>
      <rPr>
        <sz val="12"/>
        <color indexed="8"/>
        <rFont val="Calibri"/>
        <family val="2"/>
      </rPr>
      <t xml:space="preserve">  box ADSL</t>
    </r>
  </si>
  <si>
    <r>
      <t>q</t>
    </r>
    <r>
      <rPr>
        <sz val="12"/>
        <color indexed="8"/>
        <rFont val="Calibri"/>
        <family val="2"/>
      </rPr>
      <t xml:space="preserve">  imprimante simple</t>
    </r>
  </si>
  <si>
    <r>
      <t>q</t>
    </r>
    <r>
      <rPr>
        <sz val="12"/>
        <color indexed="8"/>
        <rFont val="Calibri"/>
        <family val="2"/>
      </rPr>
      <t xml:space="preserve">  imprimante multifonctions</t>
    </r>
  </si>
  <si>
    <r>
      <t>q</t>
    </r>
    <r>
      <rPr>
        <sz val="12"/>
        <color indexed="8"/>
        <rFont val="Calibri"/>
        <family val="2"/>
      </rPr>
      <t xml:space="preserve">  scanner</t>
    </r>
  </si>
  <si>
    <t>charges/semaine</t>
  </si>
  <si>
    <r>
      <t>q</t>
    </r>
    <r>
      <rPr>
        <sz val="12"/>
        <color indexed="10"/>
        <rFont val="Calibri"/>
        <family val="2"/>
      </rPr>
      <t xml:space="preserve">  rideaux cachant la lumière du jour</t>
    </r>
  </si>
  <si>
    <r>
      <t>q</t>
    </r>
    <r>
      <rPr>
        <sz val="12"/>
        <color indexed="10"/>
        <rFont val="Calibri"/>
        <family val="2"/>
      </rPr>
      <t xml:space="preserve">  vitres laissant peu passer la lumière</t>
    </r>
  </si>
  <si>
    <r>
      <t>q</t>
    </r>
    <r>
      <rPr>
        <sz val="12"/>
        <color indexed="10"/>
        <rFont val="Calibri"/>
        <family val="2"/>
      </rPr>
      <t xml:space="preserve">  meubles devant les fenêtres</t>
    </r>
  </si>
  <si>
    <t>Luminaire(s) halogène(s)</t>
  </si>
  <si>
    <t>puiss.:</t>
  </si>
  <si>
    <t>W</t>
  </si>
  <si>
    <t>Durée moyenne d'allumage</t>
  </si>
  <si>
    <t>Nombre de lampes</t>
  </si>
  <si>
    <t>75W</t>
  </si>
  <si>
    <t>60W</t>
  </si>
  <si>
    <t>40W</t>
  </si>
  <si>
    <t>20W</t>
  </si>
  <si>
    <t>15W</t>
  </si>
  <si>
    <t>11W</t>
  </si>
  <si>
    <t>8W</t>
  </si>
  <si>
    <t>Sèche cheveux</t>
  </si>
  <si>
    <t>Aquarium/vivarium</t>
  </si>
  <si>
    <t>aquarium(s) de</t>
  </si>
  <si>
    <t>litres</t>
  </si>
  <si>
    <r>
      <t>q</t>
    </r>
    <r>
      <rPr>
        <sz val="12"/>
        <color indexed="8"/>
        <rFont val="Calibri"/>
        <family val="2"/>
      </rPr>
      <t xml:space="preserve">  chauffé(s)</t>
    </r>
  </si>
  <si>
    <t>vivarium(s)</t>
  </si>
  <si>
    <t>Autres appareils à mentionner (+précisions utiles) :</t>
  </si>
  <si>
    <r>
      <t>q</t>
    </r>
    <r>
      <rPr>
        <sz val="12"/>
        <color indexed="10"/>
        <rFont val="Calibri"/>
        <family val="2"/>
      </rPr>
      <t xml:space="preserve"> chasse d'eau qui fuit</t>
    </r>
  </si>
  <si>
    <r>
      <t>q</t>
    </r>
    <r>
      <rPr>
        <sz val="12"/>
        <rFont val="Calibri"/>
        <family val="2"/>
      </rPr>
      <t xml:space="preserve"> limiteur de volume de réservoir </t>
    </r>
    <r>
      <rPr>
        <sz val="10"/>
        <rFont val="Calibri"/>
        <family val="2"/>
      </rPr>
      <t>(bouteille fermée etc…)</t>
    </r>
  </si>
  <si>
    <r>
      <t>q</t>
    </r>
    <r>
      <rPr>
        <sz val="12"/>
        <color indexed="10"/>
        <rFont val="Calibri"/>
        <family val="2"/>
      </rPr>
      <t xml:space="preserve"> chasses d'eau volumineuses sans double débit</t>
    </r>
  </si>
  <si>
    <r>
      <t>q</t>
    </r>
    <r>
      <rPr>
        <sz val="12"/>
        <rFont val="Calibri"/>
        <family val="2"/>
      </rPr>
      <t xml:space="preserve"> chasses d'eau double débit</t>
    </r>
  </si>
  <si>
    <r>
      <t>q</t>
    </r>
    <r>
      <rPr>
        <sz val="12"/>
        <color indexed="10"/>
        <rFont val="Calibri"/>
        <family val="2"/>
      </rPr>
      <t xml:space="preserve"> robinet qui fuit</t>
    </r>
  </si>
  <si>
    <t xml:space="preserve">réducteurs de débits aux robinets : </t>
  </si>
  <si>
    <r>
      <t>q</t>
    </r>
    <r>
      <rPr>
        <sz val="12"/>
        <color indexed="52"/>
        <rFont val="Cambria"/>
        <family val="1"/>
      </rPr>
      <t xml:space="preserve"> </t>
    </r>
    <r>
      <rPr>
        <sz val="12"/>
        <color indexed="52"/>
        <rFont val="Calibri"/>
        <family val="2"/>
      </rPr>
      <t>non</t>
    </r>
  </si>
  <si>
    <t>douchette économe</t>
  </si>
  <si>
    <t>mitigeurs / robinet thermostatique</t>
  </si>
  <si>
    <r>
      <t>q</t>
    </r>
    <r>
      <rPr>
        <sz val="12"/>
        <color indexed="8"/>
        <rFont val="Calibri"/>
        <family val="2"/>
      </rPr>
      <t xml:space="preserve"> bains :</t>
    </r>
  </si>
  <si>
    <t>une baignoire tous les</t>
  </si>
  <si>
    <t>durée déclarée des douches (robinet ouvert)</t>
  </si>
  <si>
    <t xml:space="preserve">occupant 1 : </t>
  </si>
  <si>
    <t>min</t>
  </si>
  <si>
    <t xml:space="preserve">occupant 2 : </t>
  </si>
  <si>
    <t xml:space="preserve">occupant 3 : </t>
  </si>
  <si>
    <t xml:space="preserve">occupant 4 : </t>
  </si>
  <si>
    <t xml:space="preserve">occupant 5 : </t>
  </si>
  <si>
    <t xml:space="preserve">occupant 6 : </t>
  </si>
  <si>
    <r>
      <t>q</t>
    </r>
    <r>
      <rPr>
        <sz val="12"/>
        <color indexed="8"/>
        <rFont val="Calibri"/>
        <family val="2"/>
      </rPr>
      <t xml:space="preserve"> douches :</t>
    </r>
  </si>
  <si>
    <t>/sem.</t>
  </si>
  <si>
    <r>
      <t>q</t>
    </r>
    <r>
      <rPr>
        <sz val="12"/>
        <color indexed="8"/>
        <rFont val="Calibri"/>
        <family val="2"/>
      </rPr>
      <t xml:space="preserve">  vaisselle manuelle :</t>
    </r>
  </si>
  <si>
    <r>
      <t>q</t>
    </r>
    <r>
      <rPr>
        <sz val="12"/>
        <color indexed="10"/>
        <rFont val="Calibri"/>
        <family val="2"/>
      </rPr>
      <t xml:space="preserve">  sous l'eau courante</t>
    </r>
  </si>
  <si>
    <r>
      <t>q</t>
    </r>
    <r>
      <rPr>
        <sz val="12"/>
        <color indexed="8"/>
        <rFont val="Calibri"/>
        <family val="2"/>
      </rPr>
      <t xml:space="preserve">  par remplissage de bacs</t>
    </r>
  </si>
  <si>
    <t>volume d'eau pour le ménage :</t>
  </si>
  <si>
    <t>l/sem.</t>
  </si>
  <si>
    <t>Suites à donner</t>
  </si>
  <si>
    <r>
      <t>q</t>
    </r>
    <r>
      <rPr>
        <sz val="12"/>
        <color indexed="8"/>
        <rFont val="Calibri"/>
        <family val="2"/>
      </rPr>
      <t xml:space="preserve">  accompagnement sur les usages</t>
    </r>
  </si>
  <si>
    <r>
      <t>q</t>
    </r>
    <r>
      <rPr>
        <sz val="12"/>
        <color indexed="8"/>
        <rFont val="Calibri"/>
        <family val="2"/>
      </rPr>
      <t xml:space="preserve">  prise de contact avec le propriétaire</t>
    </r>
  </si>
  <si>
    <r>
      <t>q</t>
    </r>
    <r>
      <rPr>
        <sz val="12"/>
        <color indexed="8"/>
        <rFont val="Calibri"/>
        <family val="2"/>
      </rPr>
      <t xml:space="preserve">  installation de matériel économe :</t>
    </r>
  </si>
  <si>
    <r>
      <t>q</t>
    </r>
    <r>
      <rPr>
        <sz val="12"/>
        <color indexed="8"/>
        <rFont val="Calibri"/>
        <family val="2"/>
      </rPr>
      <t xml:space="preserve"> limiteurs débit</t>
    </r>
  </si>
  <si>
    <t>mâle</t>
  </si>
  <si>
    <t>Q.té :</t>
  </si>
  <si>
    <t>femelle</t>
  </si>
  <si>
    <r>
      <t>q</t>
    </r>
    <r>
      <rPr>
        <sz val="12"/>
        <color indexed="8"/>
        <rFont val="Calibri"/>
        <family val="2"/>
      </rPr>
      <t xml:space="preserve"> multiprise inter.</t>
    </r>
  </si>
  <si>
    <r>
      <t>q</t>
    </r>
    <r>
      <rPr>
        <sz val="12"/>
        <color indexed="8"/>
        <rFont val="Calibri"/>
        <family val="2"/>
      </rPr>
      <t xml:space="preserve"> LBC</t>
    </r>
  </si>
  <si>
    <t>bayonnette</t>
  </si>
  <si>
    <t>vis E27</t>
  </si>
  <si>
    <t>vis E14</t>
  </si>
  <si>
    <r>
      <t>q</t>
    </r>
    <r>
      <rPr>
        <sz val="12"/>
        <color indexed="8"/>
        <rFont val="Calibri"/>
        <family val="2"/>
      </rPr>
      <t xml:space="preserve"> douchette</t>
    </r>
  </si>
  <si>
    <r>
      <t>q</t>
    </r>
    <r>
      <rPr>
        <sz val="12"/>
        <color indexed="8"/>
        <rFont val="Calibri"/>
        <family val="2"/>
      </rPr>
      <t xml:space="preserve"> sablier</t>
    </r>
  </si>
  <si>
    <t>Autres ou précisions :</t>
  </si>
  <si>
    <r>
      <t>q</t>
    </r>
    <r>
      <rPr>
        <sz val="12"/>
        <color indexed="8"/>
        <rFont val="Calibri"/>
        <family val="2"/>
      </rPr>
      <t xml:space="preserve"> demande de diagnostic thermique</t>
    </r>
  </si>
  <si>
    <r>
      <t>q</t>
    </r>
    <r>
      <rPr>
        <sz val="12"/>
        <color indexed="8"/>
        <rFont val="Calibri"/>
        <family val="2"/>
      </rPr>
      <t xml:space="preserve"> autre démarche :</t>
    </r>
  </si>
  <si>
    <t xml:space="preserve">Traces de moisissures </t>
  </si>
  <si>
    <r>
      <t>q</t>
    </r>
    <r>
      <rPr>
        <sz val="12"/>
        <color indexed="51"/>
        <rFont val="Calibri"/>
        <family val="2"/>
      </rPr>
      <t xml:space="preserve"> à un endroit</t>
    </r>
  </si>
  <si>
    <r>
      <t>q</t>
    </r>
    <r>
      <rPr>
        <sz val="12"/>
        <color indexed="10"/>
        <rFont val="Calibri"/>
        <family val="2"/>
      </rPr>
      <t xml:space="preserve"> dans plusieurs pièces</t>
    </r>
  </si>
  <si>
    <r>
      <t>q</t>
    </r>
    <r>
      <rPr>
        <sz val="12"/>
        <color indexed="8"/>
        <rFont val="Calibri"/>
        <family val="2"/>
      </rPr>
      <t xml:space="preserve"> aucune trace</t>
    </r>
  </si>
  <si>
    <t>Dégradation des peintures ou papiers peints</t>
  </si>
  <si>
    <r>
      <t>q</t>
    </r>
    <r>
      <rPr>
        <sz val="12"/>
        <color indexed="8"/>
        <rFont val="Calibri"/>
        <family val="2"/>
      </rPr>
      <t xml:space="preserve"> aucune</t>
    </r>
  </si>
  <si>
    <t>Hygrométrie mesurée :</t>
  </si>
  <si>
    <t>%</t>
  </si>
  <si>
    <r>
      <t>q</t>
    </r>
    <r>
      <rPr>
        <sz val="12"/>
        <color indexed="51"/>
        <rFont val="Calibri"/>
        <family val="2"/>
      </rPr>
      <t xml:space="preserve"> &gt;60%</t>
    </r>
  </si>
  <si>
    <r>
      <t>q</t>
    </r>
    <r>
      <rPr>
        <sz val="12"/>
        <color indexed="51"/>
        <rFont val="Calibri"/>
        <family val="2"/>
      </rPr>
      <t xml:space="preserve"> &lt;40%</t>
    </r>
  </si>
  <si>
    <t>Eau chaude sanitaire</t>
  </si>
  <si>
    <r>
      <t>q</t>
    </r>
    <r>
      <rPr>
        <sz val="12"/>
        <color indexed="8"/>
        <rFont val="Calibri"/>
        <family val="2"/>
      </rPr>
      <t xml:space="preserve"> eau chaude sanitaire collective :</t>
    </r>
  </si>
  <si>
    <r>
      <t>q</t>
    </r>
    <r>
      <rPr>
        <sz val="12"/>
        <color indexed="8"/>
        <rFont val="Calibri"/>
        <family val="2"/>
      </rPr>
      <t xml:space="preserve"> facturation/prorata</t>
    </r>
  </si>
  <si>
    <r>
      <t>q</t>
    </r>
    <r>
      <rPr>
        <sz val="12"/>
        <color indexed="8"/>
        <rFont val="Calibri"/>
        <family val="2"/>
      </rPr>
      <t xml:space="preserve"> eau chaude sanitaire individuelle</t>
    </r>
  </si>
  <si>
    <t>Production par :</t>
  </si>
  <si>
    <r>
      <t>q</t>
    </r>
    <r>
      <rPr>
        <sz val="12"/>
        <color indexed="8"/>
        <rFont val="Calibri"/>
        <family val="2"/>
      </rPr>
      <t xml:space="preserve"> chaudière</t>
    </r>
  </si>
  <si>
    <r>
      <t>q</t>
    </r>
    <r>
      <rPr>
        <sz val="12"/>
        <color indexed="8"/>
        <rFont val="Calibri"/>
        <family val="2"/>
      </rPr>
      <t xml:space="preserve"> cumulus elec.</t>
    </r>
  </si>
  <si>
    <r>
      <t>q</t>
    </r>
    <r>
      <rPr>
        <sz val="12"/>
        <color indexed="8"/>
        <rFont val="Calibri"/>
        <family val="2"/>
      </rPr>
      <t xml:space="preserve"> chauffe-bain gaz bouteille</t>
    </r>
  </si>
  <si>
    <r>
      <t>q</t>
    </r>
    <r>
      <rPr>
        <sz val="12"/>
        <color indexed="8"/>
        <rFont val="Calibri"/>
        <family val="2"/>
      </rPr>
      <t xml:space="preserve"> chauffe-eau gaz nat.</t>
    </r>
  </si>
  <si>
    <t>Stockage :</t>
  </si>
  <si>
    <r>
      <t>q</t>
    </r>
    <r>
      <rPr>
        <sz val="12"/>
        <color indexed="10"/>
        <rFont val="Calibri"/>
        <family val="2"/>
      </rPr>
      <t xml:space="preserve"> en espace non chauffé </t>
    </r>
    <r>
      <rPr>
        <sz val="12"/>
        <rFont val="Calibri"/>
        <family val="2"/>
      </rPr>
      <t>(cave, garage…)</t>
    </r>
  </si>
  <si>
    <r>
      <t>q</t>
    </r>
    <r>
      <rPr>
        <sz val="12"/>
        <color indexed="51"/>
        <rFont val="Calibri"/>
        <family val="2"/>
      </rPr>
      <t xml:space="preserve"> possibilité d'améliorer l'isolation</t>
    </r>
  </si>
  <si>
    <r>
      <t>q</t>
    </r>
    <r>
      <rPr>
        <sz val="12"/>
        <color indexed="10"/>
        <rFont val="Calibri"/>
        <family val="2"/>
      </rPr>
      <t xml:space="preserve">  groupe de sécurité du ballon ECS goutte</t>
    </r>
    <r>
      <rPr>
        <sz val="12"/>
        <rFont val="Calibri"/>
        <family val="2"/>
      </rPr>
      <t>, même hors chauffe.</t>
    </r>
  </si>
  <si>
    <t xml:space="preserve">Température de stockage : </t>
  </si>
  <si>
    <r>
      <t>q</t>
    </r>
    <r>
      <rPr>
        <sz val="12"/>
        <color indexed="51"/>
        <rFont val="Calibri"/>
        <family val="2"/>
      </rPr>
      <t xml:space="preserve"> &lt;50°C</t>
    </r>
  </si>
  <si>
    <r>
      <t>q</t>
    </r>
    <r>
      <rPr>
        <sz val="12"/>
        <color indexed="10"/>
        <rFont val="Calibri"/>
        <family val="2"/>
      </rPr>
      <t xml:space="preserve"> &gt;60°C</t>
    </r>
  </si>
  <si>
    <r>
      <t>q</t>
    </r>
    <r>
      <rPr>
        <sz val="12"/>
        <color indexed="10"/>
        <rFont val="Calibri"/>
        <family val="2"/>
      </rPr>
      <t xml:space="preserve"> canalisations non calorifugées</t>
    </r>
  </si>
  <si>
    <t>Consommations</t>
  </si>
  <si>
    <t>kWh/an (=C)</t>
  </si>
  <si>
    <t>Puissance électrique souscrite P=</t>
  </si>
  <si>
    <t>kVA</t>
  </si>
  <si>
    <t>C/P =</t>
  </si>
  <si>
    <t>Si C/P&lt;1300, la puissance souscrite peut être diminuée</t>
  </si>
  <si>
    <r>
      <t>q</t>
    </r>
    <r>
      <rPr>
        <sz val="12"/>
        <color indexed="8"/>
        <rFont val="Calibri"/>
        <family val="2"/>
      </rPr>
      <t xml:space="preserve"> abonnement tarif unique</t>
    </r>
  </si>
  <si>
    <r>
      <t>q</t>
    </r>
    <r>
      <rPr>
        <sz val="12"/>
        <color indexed="8"/>
        <rFont val="Calibri"/>
        <family val="2"/>
      </rPr>
      <t xml:space="preserve"> abonnement heures creuses/heures pleines</t>
    </r>
  </si>
  <si>
    <r>
      <t>q</t>
    </r>
    <r>
      <rPr>
        <sz val="12"/>
        <color indexed="8"/>
        <rFont val="Calibri"/>
        <family val="2"/>
      </rPr>
      <t xml:space="preserve"> TPN elec.</t>
    </r>
  </si>
  <si>
    <r>
      <t>q</t>
    </r>
    <r>
      <rPr>
        <sz val="12"/>
        <color indexed="8"/>
        <rFont val="Calibri"/>
        <family val="2"/>
      </rPr>
      <t xml:space="preserve"> élec. offre de marché ; fournisseur :</t>
    </r>
  </si>
  <si>
    <t>Gaz naturel</t>
  </si>
  <si>
    <r>
      <t>q</t>
    </r>
    <r>
      <rPr>
        <sz val="12"/>
        <color indexed="8"/>
        <rFont val="Calibri"/>
        <family val="2"/>
      </rPr>
      <t xml:space="preserve"> TSS gaz</t>
    </r>
  </si>
  <si>
    <t>Fioul</t>
  </si>
  <si>
    <t>litres/ an</t>
  </si>
  <si>
    <t>Gaz citerne</t>
  </si>
  <si>
    <t>kg /an</t>
  </si>
  <si>
    <t>Bois</t>
  </si>
  <si>
    <t>stères/an</t>
  </si>
  <si>
    <t>Pétrole</t>
  </si>
  <si>
    <t>litres /an</t>
  </si>
  <si>
    <t>Gaz bouteilles (13 kg)</t>
  </si>
  <si>
    <t>bouteilles /an</t>
  </si>
  <si>
    <r>
      <t>m</t>
    </r>
    <r>
      <rPr>
        <vertAlign val="superscript"/>
        <sz val="12"/>
        <color indexed="8"/>
        <rFont val="Calibri"/>
        <family val="2"/>
      </rPr>
      <t>3</t>
    </r>
    <r>
      <rPr>
        <sz val="12"/>
        <color indexed="8"/>
        <rFont val="Calibri"/>
        <family val="2"/>
      </rPr>
      <t>/an</t>
    </r>
  </si>
  <si>
    <t>Déplacements</t>
  </si>
  <si>
    <t>Véhicule 1</t>
  </si>
  <si>
    <t>Carburant :</t>
  </si>
  <si>
    <t>Véhicule 2</t>
  </si>
  <si>
    <t>Conso. moy.</t>
  </si>
  <si>
    <t>l/100 km</t>
  </si>
  <si>
    <t>km/an</t>
  </si>
  <si>
    <t>Assurance</t>
  </si>
  <si>
    <t>€/an</t>
  </si>
  <si>
    <t>Froid - lavage - cuisson</t>
  </si>
  <si>
    <t>appareil(s)</t>
  </si>
  <si>
    <r>
      <t>q</t>
    </r>
    <r>
      <rPr>
        <sz val="12"/>
        <color indexed="51"/>
        <rFont val="Calibri"/>
        <family val="2"/>
      </rPr>
      <t xml:space="preserve"> &gt; 10 ans</t>
    </r>
  </si>
  <si>
    <r>
      <t>q</t>
    </r>
    <r>
      <rPr>
        <sz val="12"/>
        <color indexed="8"/>
        <rFont val="Calibri"/>
        <family val="2"/>
      </rPr>
      <t xml:space="preserve"> 5-10 ans</t>
    </r>
  </si>
  <si>
    <r>
      <t>q</t>
    </r>
    <r>
      <rPr>
        <sz val="12"/>
        <color indexed="8"/>
        <rFont val="Calibri"/>
        <family val="2"/>
      </rPr>
      <t xml:space="preserve">   Récent</t>
    </r>
  </si>
  <si>
    <r>
      <t>q</t>
    </r>
    <r>
      <rPr>
        <sz val="12"/>
        <color indexed="10"/>
        <rFont val="Calibri"/>
        <family val="2"/>
      </rPr>
      <t xml:space="preserve"> givre&gt;3mm</t>
    </r>
  </si>
  <si>
    <r>
      <t>q</t>
    </r>
    <r>
      <rPr>
        <sz val="12"/>
        <color indexed="10"/>
        <rFont val="Calibri"/>
        <family val="2"/>
      </rPr>
      <t xml:space="preserve"> proche source chaleur</t>
    </r>
  </si>
  <si>
    <r>
      <t>q</t>
    </r>
    <r>
      <rPr>
        <sz val="12"/>
        <color indexed="51"/>
        <rFont val="Calibri"/>
        <family val="2"/>
      </rPr>
      <t xml:space="preserve"> grille inaccessible/poussiéreuse</t>
    </r>
  </si>
  <si>
    <r>
      <t>q</t>
    </r>
    <r>
      <rPr>
        <sz val="12"/>
        <color indexed="10"/>
        <rFont val="Calibri"/>
        <family val="2"/>
      </rPr>
      <t xml:space="preserve"> joint à changer</t>
    </r>
  </si>
  <si>
    <t>Combiné 2 portes</t>
  </si>
  <si>
    <t>cycles/sem.</t>
  </si>
  <si>
    <r>
      <t>q</t>
    </r>
    <r>
      <rPr>
        <sz val="12"/>
        <color indexed="8"/>
        <rFont val="Calibri"/>
        <family val="2"/>
      </rPr>
      <t xml:space="preserve">  5-10 ans</t>
    </r>
  </si>
  <si>
    <r>
      <t>q</t>
    </r>
    <r>
      <rPr>
        <sz val="12"/>
        <color indexed="10"/>
        <rFont val="Calibri"/>
        <family val="2"/>
      </rPr>
      <t xml:space="preserve">   charges partielles fréquentes</t>
    </r>
  </si>
  <si>
    <r>
      <t>q</t>
    </r>
    <r>
      <rPr>
        <sz val="12"/>
        <color indexed="10"/>
        <rFont val="Calibri"/>
        <family val="2"/>
      </rPr>
      <t xml:space="preserve">   60°C ou 90°C fréquents</t>
    </r>
  </si>
  <si>
    <t>Energie cuisson</t>
  </si>
  <si>
    <r>
      <t>q</t>
    </r>
    <r>
      <rPr>
        <sz val="12"/>
        <color indexed="8"/>
        <rFont val="Calibri"/>
        <family val="2"/>
      </rPr>
      <t xml:space="preserve">  Gaz bouteille</t>
    </r>
  </si>
  <si>
    <t>Four éléctrique</t>
  </si>
  <si>
    <r>
      <t>q</t>
    </r>
    <r>
      <rPr>
        <sz val="12"/>
        <color indexed="8"/>
        <rFont val="Calibri"/>
        <family val="2"/>
      </rPr>
      <t xml:space="preserve"> pyrolyse</t>
    </r>
  </si>
  <si>
    <t>(toutes les</t>
  </si>
  <si>
    <t>semaines)</t>
  </si>
  <si>
    <t>Mini-four</t>
  </si>
  <si>
    <t>Micro-ondes</t>
  </si>
  <si>
    <r>
      <t>q</t>
    </r>
    <r>
      <rPr>
        <sz val="12"/>
        <color indexed="8"/>
        <rFont val="Calibri"/>
        <family val="2"/>
      </rPr>
      <t xml:space="preserve"> fonte</t>
    </r>
  </si>
  <si>
    <r>
      <t>q</t>
    </r>
    <r>
      <rPr>
        <sz val="12"/>
        <color indexed="8"/>
        <rFont val="Calibri"/>
        <family val="2"/>
      </rPr>
      <t xml:space="preserve">  vitro.</t>
    </r>
  </si>
  <si>
    <r>
      <t>q</t>
    </r>
    <r>
      <rPr>
        <sz val="12"/>
        <color indexed="8"/>
        <rFont val="Calibri"/>
        <family val="2"/>
      </rPr>
      <t xml:space="preserve">  Induction</t>
    </r>
  </si>
  <si>
    <t>x12 tasses /j</t>
  </si>
  <si>
    <t>Audiovisuel - informatique</t>
  </si>
  <si>
    <t>Téléviseur cathodique</t>
  </si>
  <si>
    <t>durée moyenne d'allumage :</t>
  </si>
  <si>
    <t>h/j</t>
  </si>
  <si>
    <t>Téléviseur LCD</t>
  </si>
  <si>
    <t>Valeur DPE si connue :</t>
  </si>
  <si>
    <t>kWh/m²</t>
  </si>
  <si>
    <t>date/époque de construction</t>
  </si>
  <si>
    <t>m²</t>
  </si>
  <si>
    <t>Surface de vitrages</t>
  </si>
  <si>
    <r>
      <t>q</t>
    </r>
    <r>
      <rPr>
        <sz val="12"/>
        <color indexed="8"/>
        <rFont val="Calibri"/>
        <family val="2"/>
      </rPr>
      <t xml:space="preserve"> chauffage collectif : </t>
    </r>
  </si>
  <si>
    <r>
      <t>q</t>
    </r>
    <r>
      <rPr>
        <sz val="12"/>
        <color indexed="8"/>
        <rFont val="Calibri"/>
        <family val="2"/>
      </rPr>
      <t xml:space="preserve"> facturation/m²</t>
    </r>
  </si>
  <si>
    <r>
      <t>q</t>
    </r>
    <r>
      <rPr>
        <sz val="12"/>
        <color indexed="8"/>
        <rFont val="Calibri"/>
        <family val="2"/>
      </rPr>
      <t xml:space="preserve"> compteur individuel</t>
    </r>
  </si>
  <si>
    <r>
      <t>q</t>
    </r>
    <r>
      <rPr>
        <sz val="12"/>
        <color indexed="8"/>
        <rFont val="Calibri"/>
        <family val="2"/>
      </rPr>
      <t xml:space="preserve"> chauffage individuel</t>
    </r>
  </si>
  <si>
    <t>fermeture des volets la nuit</t>
  </si>
  <si>
    <r>
      <t>q</t>
    </r>
    <r>
      <rPr>
        <sz val="12"/>
        <color indexed="10"/>
        <rFont val="Cambria"/>
        <family val="1"/>
      </rPr>
      <t xml:space="preserve"> </t>
    </r>
    <r>
      <rPr>
        <sz val="12"/>
        <color indexed="10"/>
        <rFont val="Calibri"/>
        <family val="2"/>
      </rPr>
      <t>non</t>
    </r>
  </si>
  <si>
    <t>Température mesurée dans la pièce principale :</t>
  </si>
  <si>
    <t>°C</t>
  </si>
  <si>
    <t>réduction nuit/absences</t>
  </si>
  <si>
    <t xml:space="preserve">Température des parois : </t>
  </si>
  <si>
    <t xml:space="preserve">murs extérieurs </t>
  </si>
  <si>
    <t>plafond</t>
  </si>
  <si>
    <t>(Réf. t° ext :</t>
  </si>
  <si>
    <t>°C)</t>
  </si>
  <si>
    <t>Chauffage principal</t>
  </si>
  <si>
    <r>
      <t>q</t>
    </r>
    <r>
      <rPr>
        <sz val="12"/>
        <color indexed="8"/>
        <rFont val="Calibri"/>
        <family val="2"/>
      </rPr>
      <t xml:space="preserve"> chaudière à…</t>
    </r>
  </si>
  <si>
    <r>
      <t>q</t>
    </r>
    <r>
      <rPr>
        <sz val="12"/>
        <color indexed="8"/>
        <rFont val="Calibri"/>
        <family val="2"/>
      </rPr>
      <t xml:space="preserve">   Fioul</t>
    </r>
  </si>
  <si>
    <r>
      <t>q</t>
    </r>
    <r>
      <rPr>
        <sz val="12"/>
        <color indexed="8"/>
        <rFont val="Calibri"/>
        <family val="2"/>
      </rPr>
      <t xml:space="preserve">   Gaz nat</t>
    </r>
  </si>
  <si>
    <r>
      <t>q</t>
    </r>
    <r>
      <rPr>
        <sz val="12"/>
        <color indexed="8"/>
        <rFont val="Calibri"/>
        <family val="2"/>
      </rPr>
      <t xml:space="preserve">   Elec</t>
    </r>
  </si>
  <si>
    <r>
      <t>q</t>
    </r>
    <r>
      <rPr>
        <sz val="12"/>
        <color indexed="8"/>
        <rFont val="Calibri"/>
        <family val="2"/>
      </rPr>
      <t xml:space="preserve">  Bois</t>
    </r>
  </si>
  <si>
    <r>
      <t>q</t>
    </r>
    <r>
      <rPr>
        <sz val="12"/>
        <color indexed="8"/>
        <rFont val="Calibri"/>
        <family val="2"/>
      </rPr>
      <t xml:space="preserve">  Gaz citerne</t>
    </r>
  </si>
  <si>
    <r>
      <t>q</t>
    </r>
    <r>
      <rPr>
        <sz val="12"/>
        <color indexed="10"/>
        <rFont val="Calibri"/>
        <family val="2"/>
      </rPr>
      <t xml:space="preserve"> &gt;20 ans</t>
    </r>
  </si>
  <si>
    <r>
      <t>q</t>
    </r>
    <r>
      <rPr>
        <sz val="12"/>
        <color indexed="8"/>
        <rFont val="Calibri"/>
        <family val="2"/>
      </rPr>
      <t xml:space="preserve"> &gt;10 ans</t>
    </r>
  </si>
  <si>
    <r>
      <t>q</t>
    </r>
    <r>
      <rPr>
        <sz val="12"/>
        <color indexed="8"/>
        <rFont val="Calibri"/>
        <family val="2"/>
      </rPr>
      <t xml:space="preserve"> &lt;10 ans</t>
    </r>
  </si>
  <si>
    <r>
      <t>q</t>
    </r>
    <r>
      <rPr>
        <sz val="12"/>
        <color indexed="51"/>
        <rFont val="Calibri"/>
        <family val="2"/>
      </rPr>
      <t xml:space="preserve">  indéterminé</t>
    </r>
  </si>
  <si>
    <r>
      <t>q</t>
    </r>
    <r>
      <rPr>
        <sz val="12"/>
        <color indexed="10"/>
        <rFont val="Calibri"/>
        <family val="2"/>
      </rPr>
      <t xml:space="preserve">  hors d'usage</t>
    </r>
  </si>
  <si>
    <r>
      <t>q</t>
    </r>
    <r>
      <rPr>
        <sz val="12"/>
        <color indexed="10"/>
        <rFont val="Calibri"/>
        <family val="2"/>
      </rPr>
      <t xml:space="preserve"> veilleuse (flamme visible)</t>
    </r>
  </si>
  <si>
    <t>Dernière révision :</t>
  </si>
  <si>
    <r>
      <t>q</t>
    </r>
    <r>
      <rPr>
        <sz val="12"/>
        <color indexed="8"/>
        <rFont val="Calibri"/>
        <family val="2"/>
      </rPr>
      <t xml:space="preserve"> &lt;1 an</t>
    </r>
  </si>
  <si>
    <r>
      <t>q</t>
    </r>
    <r>
      <rPr>
        <sz val="12"/>
        <color indexed="8"/>
        <rFont val="Calibri"/>
        <family val="2"/>
      </rPr>
      <t xml:space="preserve"> 2 à 3 ans</t>
    </r>
  </si>
  <si>
    <r>
      <t>q</t>
    </r>
    <r>
      <rPr>
        <sz val="12"/>
        <color indexed="10"/>
        <rFont val="Calibri"/>
        <family val="2"/>
      </rPr>
      <t xml:space="preserve"> &gt;3 an</t>
    </r>
  </si>
  <si>
    <t xml:space="preserve">Régulation : </t>
  </si>
  <si>
    <r>
      <t>q</t>
    </r>
    <r>
      <rPr>
        <sz val="12"/>
        <color indexed="10"/>
        <rFont val="Calibri"/>
        <family val="2"/>
      </rPr>
      <t xml:space="preserve"> aucune</t>
    </r>
  </si>
  <si>
    <r>
      <t>q</t>
    </r>
    <r>
      <rPr>
        <sz val="12"/>
        <color indexed="8"/>
        <rFont val="Calibri"/>
        <family val="2"/>
      </rPr>
      <t xml:space="preserve"> sonde ext.</t>
    </r>
  </si>
  <si>
    <r>
      <t>q</t>
    </r>
    <r>
      <rPr>
        <sz val="12"/>
        <color indexed="8"/>
        <rFont val="Calibri"/>
        <family val="2"/>
      </rPr>
      <t xml:space="preserve"> thermostat programmable</t>
    </r>
  </si>
  <si>
    <r>
      <t>q</t>
    </r>
    <r>
      <rPr>
        <sz val="12"/>
        <color indexed="8"/>
        <rFont val="Calibri"/>
        <family val="2"/>
      </rPr>
      <t xml:space="preserve"> robinets thermostatiques</t>
    </r>
  </si>
  <si>
    <r>
      <t>q</t>
    </r>
    <r>
      <rPr>
        <sz val="12"/>
        <color indexed="8"/>
        <rFont val="Calibri"/>
        <family val="2"/>
      </rPr>
      <t xml:space="preserve"> utilisés correctement</t>
    </r>
  </si>
  <si>
    <r>
      <t>q</t>
    </r>
    <r>
      <rPr>
        <sz val="12"/>
        <color indexed="51"/>
        <rFont val="Calibri"/>
        <family val="2"/>
      </rPr>
      <t xml:space="preserve"> insuffisamment exploités</t>
    </r>
  </si>
  <si>
    <r>
      <t>q</t>
    </r>
    <r>
      <rPr>
        <sz val="12"/>
        <color indexed="10"/>
        <rFont val="Calibri"/>
        <family val="2"/>
      </rPr>
      <t xml:space="preserve"> non utilisés</t>
    </r>
  </si>
  <si>
    <r>
      <t>q</t>
    </r>
    <r>
      <rPr>
        <sz val="12"/>
        <color indexed="10"/>
        <rFont val="Calibri"/>
        <family val="2"/>
      </rPr>
      <t xml:space="preserve"> pompe de circulation en fonctionnement</t>
    </r>
    <r>
      <rPr>
        <sz val="12"/>
        <rFont val="Calibri"/>
        <family val="2"/>
      </rPr>
      <t xml:space="preserve"> même quand la chaudière est à l'arrêt</t>
    </r>
  </si>
  <si>
    <r>
      <t>q</t>
    </r>
    <r>
      <rPr>
        <sz val="12"/>
        <color indexed="10"/>
        <rFont val="Calibri"/>
        <family val="2"/>
      </rPr>
      <t xml:space="preserve"> pas d'isolation des canalisations </t>
    </r>
    <r>
      <rPr>
        <sz val="12"/>
        <rFont val="Calibri"/>
        <family val="2"/>
      </rPr>
      <t>en espace non chauffé (cave, grenier, garage)</t>
    </r>
  </si>
  <si>
    <r>
      <t>q</t>
    </r>
    <r>
      <rPr>
        <sz val="12"/>
        <color indexed="10"/>
        <rFont val="Calibri"/>
        <family val="2"/>
      </rPr>
      <t xml:space="preserve"> cheminée ouverte</t>
    </r>
  </si>
  <si>
    <r>
      <t>q</t>
    </r>
    <r>
      <rPr>
        <sz val="12"/>
        <color indexed="8"/>
        <rFont val="Calibri"/>
        <family val="2"/>
      </rPr>
      <t xml:space="preserve"> poêle ou insert :</t>
    </r>
  </si>
  <si>
    <r>
      <t>q</t>
    </r>
    <r>
      <rPr>
        <sz val="12"/>
        <color indexed="10"/>
        <rFont val="Calibri"/>
        <family val="2"/>
      </rPr>
      <t xml:space="preserve"> &gt;10 ans</t>
    </r>
  </si>
  <si>
    <t xml:space="preserve">dernier ramonage : </t>
  </si>
  <si>
    <r>
      <t>q</t>
    </r>
    <r>
      <rPr>
        <sz val="12"/>
        <color indexed="51"/>
        <rFont val="Calibri"/>
        <family val="2"/>
      </rPr>
      <t xml:space="preserve"> chauffage électrique :</t>
    </r>
  </si>
  <si>
    <r>
      <t>q</t>
    </r>
    <r>
      <rPr>
        <sz val="12"/>
        <color indexed="10"/>
        <rFont val="Calibri"/>
        <family val="2"/>
      </rPr>
      <t xml:space="preserve"> convecteurs</t>
    </r>
  </si>
  <si>
    <r>
      <t>q</t>
    </r>
    <r>
      <rPr>
        <sz val="12"/>
        <color indexed="8"/>
        <rFont val="Calibri"/>
        <family val="2"/>
      </rPr>
      <t xml:space="preserve"> panneaux rayonnants</t>
    </r>
  </si>
  <si>
    <r>
      <t>q</t>
    </r>
    <r>
      <rPr>
        <sz val="12"/>
        <color indexed="8"/>
        <rFont val="Calibri"/>
        <family val="2"/>
      </rPr>
      <t xml:space="preserve"> radiateurs à inertie</t>
    </r>
  </si>
  <si>
    <r>
      <t>q</t>
    </r>
    <r>
      <rPr>
        <sz val="12"/>
        <color indexed="8"/>
        <rFont val="Calibri"/>
        <family val="2"/>
      </rPr>
      <t xml:space="preserve"> plancher</t>
    </r>
  </si>
  <si>
    <t>Appoint 1</t>
  </si>
  <si>
    <r>
      <t>q</t>
    </r>
    <r>
      <rPr>
        <sz val="12"/>
        <color indexed="51"/>
        <rFont val="Calibri"/>
        <family val="2"/>
      </rPr>
      <t xml:space="preserve"> cheminée ouverte</t>
    </r>
  </si>
  <si>
    <r>
      <t>q</t>
    </r>
    <r>
      <rPr>
        <sz val="12"/>
        <color indexed="51"/>
        <rFont val="Calibri"/>
        <family val="2"/>
      </rPr>
      <t xml:space="preserve"> &gt;10 ans</t>
    </r>
  </si>
  <si>
    <r>
      <t>q</t>
    </r>
    <r>
      <rPr>
        <sz val="12"/>
        <color indexed="8"/>
        <rFont val="Calibri"/>
        <family val="2"/>
      </rPr>
      <t xml:space="preserve">  indéterminé</t>
    </r>
  </si>
  <si>
    <r>
      <t>q</t>
    </r>
    <r>
      <rPr>
        <sz val="12"/>
        <rFont val="Calibri"/>
        <family val="2"/>
      </rPr>
      <t xml:space="preserve"> chauffage électrique :</t>
    </r>
  </si>
  <si>
    <r>
      <t>q</t>
    </r>
    <r>
      <rPr>
        <sz val="12"/>
        <color indexed="51"/>
        <rFont val="Calibri"/>
        <family val="2"/>
      </rPr>
      <t xml:space="preserve"> convecteurs</t>
    </r>
  </si>
  <si>
    <r>
      <t xml:space="preserve">q </t>
    </r>
    <r>
      <rPr>
        <sz val="12"/>
        <color indexed="8"/>
        <rFont val="Calibri"/>
        <family val="2"/>
      </rPr>
      <t>rayonnants</t>
    </r>
  </si>
  <si>
    <r>
      <t xml:space="preserve">q </t>
    </r>
    <r>
      <rPr>
        <sz val="12"/>
        <color indexed="8"/>
        <rFont val="Calibri"/>
        <family val="2"/>
      </rPr>
      <t>soufflants</t>
    </r>
  </si>
  <si>
    <r>
      <t>q</t>
    </r>
    <r>
      <rPr>
        <sz val="12"/>
        <color indexed="10"/>
        <rFont val="Calibri"/>
        <family val="2"/>
      </rPr>
      <t xml:space="preserve"> à bain d'huile</t>
    </r>
  </si>
  <si>
    <r>
      <t>q</t>
    </r>
    <r>
      <rPr>
        <sz val="12"/>
        <color indexed="10"/>
        <rFont val="Calibri"/>
        <family val="2"/>
      </rPr>
      <t xml:space="preserve"> poêle à pétrole</t>
    </r>
  </si>
  <si>
    <r>
      <t>q</t>
    </r>
    <r>
      <rPr>
        <sz val="12"/>
        <color indexed="10"/>
        <rFont val="Calibri"/>
        <family val="2"/>
      </rPr>
      <t xml:space="preserve"> poêle à gaz (bout.)   </t>
    </r>
  </si>
  <si>
    <t>Fréquence d'utilisation</t>
  </si>
  <si>
    <r>
      <t>q</t>
    </r>
    <r>
      <rPr>
        <sz val="12"/>
        <color indexed="8"/>
        <rFont val="Calibri"/>
        <family val="2"/>
      </rPr>
      <t xml:space="preserve"> Ponctuellement</t>
    </r>
  </si>
  <si>
    <r>
      <t>q</t>
    </r>
    <r>
      <rPr>
        <sz val="12"/>
        <color indexed="51"/>
        <rFont val="Calibri"/>
        <family val="2"/>
      </rPr>
      <t xml:space="preserve"> Régulièrement</t>
    </r>
  </si>
  <si>
    <r>
      <t>q</t>
    </r>
    <r>
      <rPr>
        <sz val="12"/>
        <color indexed="10"/>
        <rFont val="Calibri"/>
        <family val="2"/>
      </rPr>
      <t xml:space="preserve"> Tous les jours l'hiver</t>
    </r>
  </si>
  <si>
    <t>Appoint 2</t>
  </si>
  <si>
    <t>Ventilation</t>
  </si>
  <si>
    <r>
      <t>q</t>
    </r>
    <r>
      <rPr>
        <sz val="12"/>
        <color indexed="10"/>
        <rFont val="Calibri"/>
        <family val="2"/>
      </rPr>
      <t xml:space="preserve"> absence de bouches d'extraction </t>
    </r>
    <r>
      <rPr>
        <sz val="12"/>
        <rFont val="Calibri"/>
        <family val="2"/>
      </rPr>
      <t xml:space="preserve">(cuisine, SdB, WC), </t>
    </r>
    <r>
      <rPr>
        <sz val="12"/>
        <color indexed="10"/>
        <rFont val="Calibri"/>
        <family val="2"/>
      </rPr>
      <t>absence de VMC</t>
    </r>
  </si>
  <si>
    <r>
      <t>q</t>
    </r>
    <r>
      <rPr>
        <sz val="12"/>
        <color indexed="10"/>
        <rFont val="Calibri"/>
        <family val="2"/>
      </rPr>
      <t xml:space="preserve"> aspiration absente ou insuffisante </t>
    </r>
    <r>
      <rPr>
        <sz val="12"/>
        <rFont val="Calibri"/>
        <family val="2"/>
      </rPr>
      <t>(feuille de papier ne reste pas fixée)</t>
    </r>
  </si>
  <si>
    <r>
      <t>q</t>
    </r>
    <r>
      <rPr>
        <sz val="12"/>
        <color indexed="10"/>
        <rFont val="Calibri"/>
        <family val="2"/>
      </rPr>
      <t xml:space="preserve"> absence d'entrées d'air aux fenêtres</t>
    </r>
  </si>
  <si>
    <r>
      <t>q</t>
    </r>
    <r>
      <rPr>
        <sz val="12"/>
        <color indexed="10"/>
        <rFont val="Calibri"/>
        <family val="2"/>
      </rPr>
      <t xml:space="preserve"> entrées d'air bouchées</t>
    </r>
  </si>
  <si>
    <r>
      <t>q</t>
    </r>
    <r>
      <rPr>
        <sz val="12"/>
        <color indexed="51"/>
        <rFont val="Calibri"/>
        <family val="2"/>
      </rPr>
      <t xml:space="preserve"> mauvaise étanchéité des fenêtres </t>
    </r>
    <r>
      <rPr>
        <sz val="12"/>
        <rFont val="Calibri"/>
        <family val="2"/>
      </rPr>
      <t>(passage d'air)</t>
    </r>
  </si>
  <si>
    <t>NB : Losrque les valeurs sont négatives l'action a généré des économies. Si elles sont positives c'est que l'action a entrainé une surconsommation.</t>
  </si>
  <si>
    <t>Pour évaluer l'impact d'un changement de matériel ou un nouvel achat, comparez directement les différence de consommation à l'aide des éléments de la feuille "Consommation appareils"</t>
  </si>
  <si>
    <t>Visiteur</t>
  </si>
  <si>
    <t>Nom</t>
  </si>
  <si>
    <t>Prénom</t>
  </si>
  <si>
    <t>Organisme</t>
  </si>
  <si>
    <t>N° tel.</t>
  </si>
  <si>
    <t>Courriel</t>
  </si>
  <si>
    <t>date visite</t>
  </si>
  <si>
    <t>Motif de la visite :</t>
  </si>
  <si>
    <r>
      <t>q</t>
    </r>
    <r>
      <rPr>
        <sz val="12"/>
        <color indexed="8"/>
        <rFont val="Calibri"/>
        <family val="2"/>
      </rPr>
      <t xml:space="preserve"> bénéficiaire FSL</t>
    </r>
  </si>
  <si>
    <r>
      <t>q</t>
    </r>
    <r>
      <rPr>
        <sz val="12"/>
        <color indexed="8"/>
        <rFont val="Calibri"/>
        <family val="2"/>
      </rPr>
      <t xml:space="preserve"> demande émanant du foyer</t>
    </r>
  </si>
  <si>
    <r>
      <t>q</t>
    </r>
    <r>
      <rPr>
        <sz val="12"/>
        <color indexed="8"/>
        <rFont val="Calibri"/>
        <family val="2"/>
      </rPr>
      <t xml:space="preserve"> signalement par :</t>
    </r>
  </si>
  <si>
    <t>Coord. foyer</t>
  </si>
  <si>
    <t>Adresse</t>
  </si>
  <si>
    <t>Travailleur social référent (le cas échéant)</t>
  </si>
  <si>
    <t>Occupants</t>
  </si>
  <si>
    <t>Présence en journée :</t>
  </si>
  <si>
    <t>adultes</t>
  </si>
  <si>
    <r>
      <t>q</t>
    </r>
    <r>
      <rPr>
        <sz val="12"/>
        <color indexed="8"/>
        <rFont val="Calibri"/>
        <family val="2"/>
      </rPr>
      <t xml:space="preserve"> non</t>
    </r>
  </si>
  <si>
    <r>
      <t>q</t>
    </r>
    <r>
      <rPr>
        <sz val="12"/>
        <color indexed="8"/>
        <rFont val="Calibri"/>
        <family val="2"/>
      </rPr>
      <t xml:space="preserve"> oui</t>
    </r>
  </si>
  <si>
    <t>enfants</t>
  </si>
  <si>
    <t>bébés (&lt;18 mois)</t>
  </si>
  <si>
    <t>adolescents</t>
  </si>
  <si>
    <t>nombre de semaines d'absence par an :</t>
  </si>
  <si>
    <r>
      <t>q</t>
    </r>
    <r>
      <rPr>
        <sz val="12"/>
        <color indexed="8"/>
        <rFont val="Calibri"/>
        <family val="2"/>
      </rPr>
      <t xml:space="preserve"> propriétaires</t>
    </r>
  </si>
  <si>
    <r>
      <t>q</t>
    </r>
    <r>
      <rPr>
        <sz val="12"/>
        <color indexed="8"/>
        <rFont val="Calibri"/>
        <family val="2"/>
      </rPr>
      <t xml:space="preserve"> loc. parc public</t>
    </r>
  </si>
  <si>
    <r>
      <t>q</t>
    </r>
    <r>
      <rPr>
        <sz val="12"/>
        <color indexed="8"/>
        <rFont val="Calibri"/>
        <family val="2"/>
      </rPr>
      <t xml:space="preserve"> loc. parc privé</t>
    </r>
  </si>
  <si>
    <t>Ressenti des occupants</t>
  </si>
  <si>
    <t xml:space="preserve">Les occupants jugent-ils le logement </t>
  </si>
  <si>
    <r>
      <t>q</t>
    </r>
    <r>
      <rPr>
        <sz val="12"/>
        <color indexed="8"/>
        <rFont val="Calibri"/>
        <family val="2"/>
      </rPr>
      <t xml:space="preserve"> très confortable</t>
    </r>
  </si>
  <si>
    <r>
      <t>q</t>
    </r>
    <r>
      <rPr>
        <sz val="12"/>
        <color indexed="8"/>
        <rFont val="Calibri"/>
        <family val="2"/>
      </rPr>
      <t xml:space="preserve"> plutôt confortable</t>
    </r>
  </si>
  <si>
    <r>
      <t>q</t>
    </r>
    <r>
      <rPr>
        <sz val="12"/>
        <color indexed="10"/>
        <rFont val="Calibri"/>
        <family val="2"/>
      </rPr>
      <t xml:space="preserve"> inconfortable</t>
    </r>
  </si>
  <si>
    <t>Quels problèmes déclarent-ils ?</t>
  </si>
  <si>
    <t>Si les occupants sont locataires, les problèmes ont-ils été signalés au propriétaire ?</t>
  </si>
  <si>
    <t>Si oui, avec quelles suites ?</t>
  </si>
  <si>
    <t>Depuis combien de temps occupent-ils ce logement ?</t>
  </si>
  <si>
    <t>Ont-ils eu froid au cours du dernier hiver ?</t>
  </si>
  <si>
    <r>
      <t>q</t>
    </r>
    <r>
      <rPr>
        <sz val="12"/>
        <color indexed="8"/>
        <rFont val="Calibri"/>
        <family val="2"/>
      </rPr>
      <t xml:space="preserve"> quelques jours</t>
    </r>
  </si>
  <si>
    <r>
      <t>q</t>
    </r>
    <r>
      <rPr>
        <sz val="12"/>
        <color indexed="10"/>
        <rFont val="Calibri"/>
        <family val="2"/>
      </rPr>
      <t xml:space="preserve"> une bonne partie de l'hiver</t>
    </r>
  </si>
  <si>
    <t>Si oui, pour quelles raisons ?</t>
  </si>
  <si>
    <r>
      <t>q</t>
    </r>
    <r>
      <rPr>
        <sz val="12"/>
        <color indexed="8"/>
        <rFont val="Calibri"/>
        <family val="2"/>
      </rPr>
      <t xml:space="preserve"> mauvaise isolation</t>
    </r>
  </si>
  <si>
    <r>
      <t>q</t>
    </r>
    <r>
      <rPr>
        <sz val="12"/>
        <color indexed="8"/>
        <rFont val="Calibri"/>
        <family val="2"/>
      </rPr>
      <t xml:space="preserve"> installation de chauffage déficiente</t>
    </r>
  </si>
  <si>
    <r>
      <t>q</t>
    </r>
    <r>
      <rPr>
        <sz val="12"/>
        <color indexed="8"/>
        <rFont val="Calibri"/>
        <family val="2"/>
      </rPr>
      <t xml:space="preserve"> panne</t>
    </r>
  </si>
  <si>
    <r>
      <t>q</t>
    </r>
    <r>
      <rPr>
        <sz val="12"/>
        <color indexed="8"/>
        <rFont val="Calibri"/>
        <family val="2"/>
      </rPr>
      <t xml:space="preserve"> restriction pour raison budgétaire</t>
    </r>
  </si>
  <si>
    <t>Ont-ils dû sacrifier d'autres dépenses pour pouvoir payer l'énergie et l'eau ?</t>
  </si>
  <si>
    <r>
      <t>q</t>
    </r>
    <r>
      <rPr>
        <sz val="12"/>
        <color indexed="10"/>
        <rFont val="Calibri"/>
        <family val="2"/>
      </rPr>
      <t xml:space="preserve"> oui </t>
    </r>
  </si>
  <si>
    <t>(précisions)</t>
  </si>
  <si>
    <t>Y'a-t-il des problèmes de santé récurrents liés au logement (rhinites, asthme, bronchites)</t>
  </si>
  <si>
    <r>
      <t>q</t>
    </r>
    <r>
      <rPr>
        <sz val="12"/>
        <color indexed="10"/>
        <rFont val="Calibri"/>
        <family val="2"/>
      </rPr>
      <t xml:space="preserve"> oui</t>
    </r>
  </si>
  <si>
    <t>Peuvent-ils compter sur quelqu'un pour les aider ? (proche, travailleur social…)</t>
  </si>
  <si>
    <t xml:space="preserve"> Caractéristiques logement</t>
  </si>
  <si>
    <t xml:space="preserve">Type de logement </t>
  </si>
  <si>
    <t>q</t>
  </si>
  <si>
    <t>Appartement</t>
  </si>
  <si>
    <t>Maison</t>
  </si>
  <si>
    <t>Aucune isolation</t>
  </si>
  <si>
    <t>Isolation seulement en plafond (ou esp. chauffé au dessus)</t>
  </si>
  <si>
    <t>Isolation toiture + murs</t>
  </si>
  <si>
    <t>Isolation toiture + double vitrage</t>
  </si>
  <si>
    <t>Consommation de l'appareil sélectionné dans la feuille "Consommation appareils" (Cellules J44 à J49)</t>
  </si>
  <si>
    <t>Réfrigérateur à côté du four ou d'un radiateur</t>
  </si>
  <si>
    <t>40%  de surconsommation par rapport à la moyenne mesurée</t>
  </si>
  <si>
    <t>Cycles à charge partielle</t>
  </si>
  <si>
    <t>Augmentation de 20% de la consommation d'électricité et d'eau du poste lavage
(1 cycle par semaine à demi charge soit un cycle supplémentaire toutes les 2 semaine)</t>
  </si>
  <si>
    <t>Consommation du lave-linge sélectionné dans la feuille "Consommation appareils" (Cellules J35 à J37)</t>
  </si>
  <si>
    <t>Consommation du lave-vaisselle sélectionné dans la feuille "Consommation appareils" (Cellules J38 à J40)</t>
  </si>
  <si>
    <t>Lavages à 60°C au lieu de 40°</t>
  </si>
  <si>
    <t>Augmentation de 40% de la consommation d'électricité du lave-linge</t>
  </si>
  <si>
    <t>Remplacement d'ampoules incandescences par des lampes basse consommation</t>
  </si>
  <si>
    <t>Remplacement d'ampoules 60 W par des 20 W. Utilisation 2h/j en moyenne</t>
  </si>
  <si>
    <t>Comparez directement les différence de consommation à l'aide des éléments de la feuille "Consommation appareils"</t>
  </si>
  <si>
    <t>Rideaux fermés ou meubles devant les fenêtres</t>
  </si>
  <si>
    <t xml:space="preserve">Augmentation de 10% de la consommation du poste éclairage moyen </t>
  </si>
  <si>
    <t xml:space="preserve">Le nombre et type des ampoules doit-être renseigné (cellules E68 à E75 de la feuille "Consommation appareils") </t>
  </si>
  <si>
    <t>Extinction des lumières dans les pièces non occupées</t>
  </si>
  <si>
    <t xml:space="preserve">20% de gain sur la consommation du poste éclairage </t>
  </si>
  <si>
    <t>Coupe-veilles</t>
  </si>
  <si>
    <t>Puissances moyennes mesurées des veilles audiovisuelles et informatique * 365j * 24h</t>
  </si>
  <si>
    <t>Transport</t>
  </si>
  <si>
    <t>Sous-gonflage pneus</t>
  </si>
  <si>
    <t>Sous-pression de 0,5bars. Augmentation de 2,4% de la consommation</t>
  </si>
  <si>
    <t>Les cellules B6, B8 et B9 de la feuille "Conso déplacement" doivent être renseignées</t>
  </si>
  <si>
    <t>Covoiturage pour courses hebdomadaires</t>
  </si>
  <si>
    <t>-(J27) km 1 sem/2 x coût moyen au km</t>
  </si>
  <si>
    <t>Distance domicile supermarché Aller/Retour</t>
  </si>
  <si>
    <t>Bus ou vélo une fois par semaine pour aller au travail.
Dans le cas du bus il faudra prendre en compte le coût d'abonnement</t>
  </si>
  <si>
    <t>-(J27) km aller/retour 1j/sem x coût moyen au km</t>
  </si>
  <si>
    <t>Distance domicile travail Aller/Retour</t>
  </si>
  <si>
    <t>21% de gain sur la consommation de chauffage. Consommation pondérée : 10h/jour ;  5 jours sur 7</t>
  </si>
  <si>
    <t xml:space="preserve">Consommation de chauffage
</t>
  </si>
  <si>
    <t>Installation d'un thermostat d'ambiance</t>
  </si>
  <si>
    <t>8% de gain sur la consommation de chauffage</t>
  </si>
  <si>
    <t>Achat d'un poêle à pétrole</t>
  </si>
  <si>
    <t>Substitution de 20% de la consommation de chauffage</t>
  </si>
  <si>
    <t>Achat de réducteurs de débit</t>
  </si>
  <si>
    <t xml:space="preserve">diminution de 50% de la consommation d'eau des douches et des puisages divers hors cuisine, boisson et ménage
diminution de 40% sur la consommation de production ECS </t>
  </si>
  <si>
    <t>Consommation d'Eau Chaude Sanitaire</t>
  </si>
  <si>
    <t>Douches courtes en coupant l'eau</t>
  </si>
  <si>
    <t>Passage de 40 à 20 l par douche (à 38°C).</t>
  </si>
  <si>
    <t>Le nombre de personne dans le foyer (cellule C5 de la feuille "Descriptif initial" et G1, G2 et G3 de la feuille "Consommation appareils") doit être renseigné</t>
  </si>
  <si>
    <t>Robinets ouverts pendant vaisselle, lavage dents…</t>
  </si>
  <si>
    <t>5 min/j ; débit 17l./min ;
80% eau froide, 20% ECS à 40°C</t>
  </si>
  <si>
    <t>Couvercles sur casserolles</t>
  </si>
  <si>
    <t>50% de gain sur la consommation des plaques (elles mêmes équivalent à 50% de la consommation totale du poste cuisson si autres que plaques électriques ; si plaques électriques, consommations standard mesurées)</t>
  </si>
  <si>
    <t>Consommation de la cuisson
Cellule I26 de la feuille "Descriptif initial" si ce ne sont pas des plaques électriques et que la valeur correspond seulement à la  cuisson. Sinon, consommation de l'appareil sélectionné dans la feuille "Consommation appareils" (Cellules I43 à I45)</t>
  </si>
  <si>
    <t>Juste quantité d'eau à bouillir</t>
  </si>
  <si>
    <t>50% de gain sur la consommation de la bouilloire + 10% sur la consommation plaques (par défaut, conso plaque fonte)</t>
  </si>
  <si>
    <t>Consommation de la cuisson
Cellule I26 de la feuille "Descriptif initial" si ce ne sont pas des plaques électriques et que la valeur correspond seulement à la  cuisson. Sinon, consommation de l'appareil sélectionné dans la feuille "Consommation appareils" (Cellules I48 à I50)</t>
  </si>
  <si>
    <t>Dégivrage régulier</t>
  </si>
  <si>
    <t>40% de gain sur la consommation moyenne mesurée</t>
  </si>
  <si>
    <t>Vaisselle main</t>
  </si>
  <si>
    <t>Eau courante</t>
  </si>
  <si>
    <t>SMEGREG</t>
  </si>
  <si>
    <t>Remplissage des bacs</t>
  </si>
  <si>
    <t xml:space="preserve">SMEGREG, </t>
  </si>
  <si>
    <t>Complément L.-V.</t>
  </si>
  <si>
    <t>AUXILIAIRES</t>
  </si>
  <si>
    <t>Ventilation mécanique</t>
  </si>
  <si>
    <t>autoréglable</t>
  </si>
  <si>
    <t>Estimation EIE CAUE16 : 35W 24h/25</t>
  </si>
  <si>
    <t>hygroréglable</t>
  </si>
  <si>
    <t>Estimation EIE CAUE16 : réduction de 30% par rapport à autoréglable</t>
  </si>
  <si>
    <t>basse consommation</t>
  </si>
  <si>
    <t>Estimation EIE CAUE16 : 12W 24h/24</t>
  </si>
  <si>
    <t>Pompe chauffage</t>
  </si>
  <si>
    <t>non asservie</t>
  </si>
  <si>
    <t>Ecodrome (site Enertech)</t>
  </si>
  <si>
    <t>asservie au thermostat</t>
  </si>
  <si>
    <t>% du temps</t>
  </si>
  <si>
    <t>pompe classe A</t>
  </si>
  <si>
    <t>Puissance de pompe constatée sur le marché.</t>
  </si>
  <si>
    <t>Description du véhicule</t>
  </si>
  <si>
    <t>Type de véhicule</t>
  </si>
  <si>
    <t>Diesel</t>
  </si>
  <si>
    <t>Prix carburants</t>
  </si>
  <si>
    <t>Source</t>
  </si>
  <si>
    <t>Urbain</t>
  </si>
  <si>
    <t>Age du véhicule</t>
  </si>
  <si>
    <t>Pégase, données mensuelles</t>
  </si>
  <si>
    <t>Essence</t>
  </si>
  <si>
    <t>Péri-urbain</t>
  </si>
  <si>
    <t>Conso véhicule (l/100 km)</t>
  </si>
  <si>
    <t>GPL</t>
  </si>
  <si>
    <t>Rural</t>
  </si>
  <si>
    <t>Nb km/an</t>
  </si>
  <si>
    <t>GNV</t>
  </si>
  <si>
    <t>gaz de Bordeaux, prix au m3</t>
  </si>
  <si>
    <t>Coût de carburant</t>
  </si>
  <si>
    <t>Assurance véhic</t>
  </si>
  <si>
    <t xml:space="preserve">Estimation à partir de factures </t>
  </si>
  <si>
    <t>Dévalorisation annuelle véhic</t>
  </si>
  <si>
    <t>Entretien véhic.</t>
  </si>
  <si>
    <t>€ (0.030€ /km)</t>
  </si>
  <si>
    <t>Coût total annuel</t>
  </si>
  <si>
    <t>Coût au km</t>
  </si>
  <si>
    <t>Calculs à partir des consommations réelles annuelles du foyer</t>
  </si>
  <si>
    <t>Données basées sur des valeurs moyennes annuelles</t>
  </si>
  <si>
    <t>Les cases roses indiquent les cellules des feuilles "Descriptif initial" et "Consommation appareils" à remplir au préalable.</t>
  </si>
  <si>
    <t>Les cases oranges sont à complèter avec les valeurs définies dans la case adjacente.</t>
  </si>
  <si>
    <t>Poste de consommation</t>
  </si>
  <si>
    <t>Action</t>
  </si>
  <si>
    <t>Précision/mode calcul</t>
  </si>
  <si>
    <t>Données à saisir</t>
  </si>
  <si>
    <r>
      <t>D</t>
    </r>
    <r>
      <rPr>
        <b/>
        <sz val="16"/>
        <color indexed="8"/>
        <rFont val="Calibri"/>
        <family val="2"/>
      </rPr>
      <t xml:space="preserve"> conso kWh</t>
    </r>
  </si>
  <si>
    <r>
      <t>D</t>
    </r>
    <r>
      <rPr>
        <b/>
        <sz val="16"/>
        <color indexed="8"/>
        <rFont val="Calibri"/>
        <family val="2"/>
      </rPr>
      <t xml:space="preserve"> conso m3</t>
    </r>
  </si>
  <si>
    <r>
      <t>D</t>
    </r>
    <r>
      <rPr>
        <b/>
        <sz val="16"/>
        <color indexed="8"/>
        <rFont val="Calibri"/>
        <family val="2"/>
      </rPr>
      <t xml:space="preserve"> dépenses €</t>
    </r>
  </si>
  <si>
    <t>Fermeture des volets la nuit</t>
  </si>
  <si>
    <t>R additionnelle 0,2 sur Simple Vitrage
Passage d'un Uw de 4.5 à un Ujn de 2.37 donc :  4.5-2.37 * surface vitrée logement * DJU*12h</t>
  </si>
  <si>
    <t>La surface de vitrage (cellule C8 de la feuille "Descriptif initial") doit être renseignée</t>
  </si>
  <si>
    <t>Calfeutrage des passages d'air parasites</t>
  </si>
  <si>
    <t xml:space="preserve"> 10 kWh/m² (surface de la maison)</t>
  </si>
  <si>
    <t>La surface du logement (cellule C6 de la feuille "Descriptif initial") doit être renseignée</t>
  </si>
  <si>
    <t>Baisse de la température pendant la nuit et les périodes d'absence</t>
  </si>
  <si>
    <t>plasma 105 cm</t>
  </si>
  <si>
    <t>plasma 120 cm</t>
  </si>
  <si>
    <t>plasma 107 cm neuf</t>
  </si>
  <si>
    <t>veille plasma</t>
  </si>
  <si>
    <t>Démodulateur</t>
  </si>
  <si>
    <t>24/24</t>
  </si>
  <si>
    <t>Remodece (site Enertech)- extrapolation moyenne mesurée sur 24h au lieu de 13h de fonctionnement constatées</t>
  </si>
  <si>
    <t>éteint quand TV éteinte</t>
  </si>
  <si>
    <t>Consommation sur 6h au lieu de 24h</t>
  </si>
  <si>
    <t>Lecteur DVD</t>
  </si>
  <si>
    <t>Remodece (site Enertech)- puissance et consommation fonctionnement - veille</t>
  </si>
  <si>
    <t>veille</t>
  </si>
  <si>
    <t>Lecteur-enregistreur DVD</t>
  </si>
  <si>
    <t>Remodece (site Enertech)- - puissance et consommation fonctionnement - veille</t>
  </si>
  <si>
    <t>Home cinema</t>
  </si>
  <si>
    <t>Remodece (site Enertech)- consommation fonctionnement + veille</t>
  </si>
  <si>
    <t>Chaine Hi-Fi</t>
  </si>
  <si>
    <t>INFORMATIQUE-COMMUNICATION</t>
  </si>
  <si>
    <t>Unité centrale</t>
  </si>
  <si>
    <t>Ecran cathodique</t>
  </si>
  <si>
    <t>Ecran</t>
  </si>
  <si>
    <t>LCD 15'</t>
  </si>
  <si>
    <t>LCD 17'</t>
  </si>
  <si>
    <t>Ordinateur portable</t>
  </si>
  <si>
    <t>Box ADSL</t>
  </si>
  <si>
    <t>Imprimante</t>
  </si>
  <si>
    <t>Impr. seule</t>
  </si>
  <si>
    <t>multifonction</t>
  </si>
  <si>
    <t>Scanner</t>
  </si>
  <si>
    <t>Téléphone-répondeur</t>
  </si>
  <si>
    <t>Mesure CAUE16</t>
  </si>
  <si>
    <t>Téléphone portable</t>
  </si>
  <si>
    <t>charges/sem</t>
  </si>
  <si>
    <t>Mesure EIE CAUE16</t>
  </si>
  <si>
    <t>DIVERS</t>
  </si>
  <si>
    <t>Jeu video</t>
  </si>
  <si>
    <t>Cadre numérique</t>
  </si>
  <si>
    <t>Radio-réveil</t>
  </si>
  <si>
    <t>Aquarium 100 l.</t>
  </si>
  <si>
    <t>remplissages /an</t>
  </si>
  <si>
    <t>Estim. CAUE16 : pompe 12W (24/24), éclairage 50W (12h/j)</t>
  </si>
  <si>
    <t>Aquarium chauffé 100 l.</t>
  </si>
  <si>
    <t>Estim. CAUE16 : idem + chauff 100W (20%du temps)+évap 5l./sem (eau 25°C)</t>
  </si>
  <si>
    <t>Vivarium</t>
  </si>
  <si>
    <t>Estim CAUE : chauff 40W (50% du temps), écl. 40W (12h/j)</t>
  </si>
  <si>
    <r>
      <t>Piscine hors sol 25m</t>
    </r>
    <r>
      <rPr>
        <b/>
        <vertAlign val="superscript"/>
        <sz val="11"/>
        <rFont val="Calibri"/>
        <family val="2"/>
      </rPr>
      <t>3</t>
    </r>
  </si>
  <si>
    <t>Etude piscines (site Enertech) : pompe 470W 7h30/j 110j/an + 1,5m3 hivernage+ évap 15m3/an  (1cm/j-précipitations)</t>
  </si>
  <si>
    <r>
      <t>Piscine enterrée 80m</t>
    </r>
    <r>
      <rPr>
        <b/>
        <vertAlign val="superscript"/>
        <sz val="11"/>
        <rFont val="Calibri"/>
        <family val="2"/>
      </rPr>
      <t>3</t>
    </r>
  </si>
  <si>
    <t>pompe permanente</t>
  </si>
  <si>
    <t>Etude piscines (site Enertech) : pompe 1000W 24/24 pdt 6 mois; robot 100W 4h30/j ; eclairage 400W 5h/an + 5m3 hivernage + évap 40m3/an (1cm/j-précipitations)</t>
  </si>
  <si>
    <t>pompe ? h/j</t>
  </si>
  <si>
    <t>Etude piscines (site Enertech) : pompe 1000W 11h/j pdt 6 mois; robot 100W 4h30/j ; eclairage 400W 5h/an + 5m3 hivernage + évap 40m3/an (1cm/j-précipitations)</t>
  </si>
  <si>
    <t>Douche adulte</t>
  </si>
  <si>
    <t>min/j/pers</t>
  </si>
  <si>
    <t>Estimation EIE CAUE16</t>
  </si>
  <si>
    <t>réducteur débit</t>
  </si>
  <si>
    <t>Douche enfant</t>
  </si>
  <si>
    <t>Douche adolescent</t>
  </si>
  <si>
    <t>Bain bébé</t>
  </si>
  <si>
    <t>l/jour</t>
  </si>
  <si>
    <t>Chasse d'eau</t>
  </si>
  <si>
    <t>chasses/pers/j</t>
  </si>
  <si>
    <t>3/6 litres</t>
  </si>
  <si>
    <t>l/sem</t>
  </si>
  <si>
    <t>Cuisine (cuisson, boisson)</t>
  </si>
  <si>
    <t>AEE 2008 (Site Enertech)</t>
  </si>
  <si>
    <t>récent A++ (250l)</t>
  </si>
  <si>
    <t>Réfrigérateur-congélateur</t>
  </si>
  <si>
    <t>récent A++ (225+80l)</t>
  </si>
  <si>
    <t>Congélateur</t>
  </si>
  <si>
    <t>récent A+ (200l armoire)</t>
  </si>
  <si>
    <t>récent A+ (230l coffre)</t>
  </si>
  <si>
    <t>CUISSON</t>
  </si>
  <si>
    <t>Four électrique</t>
  </si>
  <si>
    <t>h/sem</t>
  </si>
  <si>
    <t>ECUEL (Site Enertech); conso horaire moy 1200 Wh ; usage moy 34 min/j.</t>
  </si>
  <si>
    <t>Pyrolyse</t>
  </si>
  <si>
    <t>toutes les/… /sem.</t>
  </si>
  <si>
    <t>Mini four</t>
  </si>
  <si>
    <t>ECUEL (Site Enertech): moy 20 min/j ; hypothèse puissance max 3/4 du temps d'utilisation</t>
  </si>
  <si>
    <t>Micro-ondes simple</t>
  </si>
  <si>
    <t>min/j</t>
  </si>
  <si>
    <t>Micro-ondes combiné</t>
  </si>
  <si>
    <t>Plaques cuisson</t>
  </si>
  <si>
    <t>Fonte</t>
  </si>
  <si>
    <t>ECUEL (Site Enertech), Conso moyenne horaire x tps utilisation moy 30 min/j</t>
  </si>
  <si>
    <t>Vitrocéramique</t>
  </si>
  <si>
    <t>ECUEL (Site Enertech), Conso moyenne horaire x tps utilisation moy 40 min/j (Temps d'utilisation de l'étude 45min revu à la baisse car pas représentatif dans le cas d'un changement d'équipement</t>
  </si>
  <si>
    <t>Induction</t>
  </si>
  <si>
    <t>ECUEL (Site Enertech), Conso moyenne horaire x tps utilisation moy 40 min/j (Temps d'utilisation de l'étude 1h revu à la baisse car pas représentatif dans le cas d'un changement d'équipement</t>
  </si>
  <si>
    <t>ELECTROMENAGER</t>
  </si>
  <si>
    <t>Bouilloire</t>
  </si>
  <si>
    <t>Estimation de la durée de fonctionnement par EIE CAUE16 - consommation annuelle cohérente avec ECUEL</t>
  </si>
  <si>
    <t>Cafetière</t>
  </si>
  <si>
    <t>12 tasses</t>
  </si>
  <si>
    <t>cafetière/j</t>
  </si>
  <si>
    <t>Estimation de la durée de fonctionnement par EIE CAUE16 ; consommation annuelle cohérente avec ECUEL</t>
  </si>
  <si>
    <t>Grille-pain</t>
  </si>
  <si>
    <t>Estimation de la durée de fonctionnement par EIE CAUE16</t>
  </si>
  <si>
    <t>Fer à repasser</t>
  </si>
  <si>
    <t>Sèche-cheveux</t>
  </si>
  <si>
    <t>min/sem</t>
  </si>
  <si>
    <t>Aspirateur</t>
  </si>
  <si>
    <t>ECLAIRAGE</t>
  </si>
  <si>
    <t>Halogène 300 W</t>
  </si>
  <si>
    <t>h/jour</t>
  </si>
  <si>
    <t>Lampe 75 W</t>
  </si>
  <si>
    <t>Lampe 60W</t>
  </si>
  <si>
    <t>Lampe 40 W</t>
  </si>
  <si>
    <t>LBC 20 W</t>
  </si>
  <si>
    <t>LBC 15 W</t>
  </si>
  <si>
    <t>LBC 11 W</t>
  </si>
  <si>
    <t>LBC 8 W</t>
  </si>
  <si>
    <t>AUDIOVISUEL</t>
  </si>
  <si>
    <t xml:space="preserve">TV </t>
  </si>
  <si>
    <t>cathodique moy.</t>
  </si>
  <si>
    <t>Remodece (site Enertech)- puissance et durée utilisation mesurées</t>
  </si>
  <si>
    <t>veille cath.</t>
  </si>
  <si>
    <t>Remodece (site Enertech)</t>
  </si>
  <si>
    <t>LCD 80 cm moy</t>
  </si>
  <si>
    <t>Remodece (site Enertech)- adaptation de la puissance moyenne pour obtenir les consommations mesurées avec les durées d'utilisation observées</t>
  </si>
  <si>
    <t>LCD 80 cm neuf éco.</t>
  </si>
  <si>
    <t>site topten</t>
  </si>
  <si>
    <t>LCD 100 cm moy</t>
  </si>
  <si>
    <t>LCD 100 cm neuf éco.</t>
  </si>
  <si>
    <t>veille LCD</t>
  </si>
  <si>
    <t>Consommations estimées par poste à partir des consommations annuelles réelles</t>
  </si>
  <si>
    <t xml:space="preserve">Postes de consommations d'énergie </t>
  </si>
  <si>
    <t>kWh/an</t>
  </si>
  <si>
    <t>Coût (€)</t>
  </si>
  <si>
    <t xml:space="preserve">Postes de consommations </t>
  </si>
  <si>
    <r>
      <t>consommation estimée par poste</t>
    </r>
    <r>
      <rPr>
        <b/>
        <sz val="10"/>
        <color indexed="8"/>
        <rFont val="Calibri"/>
        <family val="2"/>
      </rPr>
      <t xml:space="preserve"> (kWh/an)</t>
    </r>
  </si>
  <si>
    <t>Consommation standard</t>
  </si>
  <si>
    <t>Chauffage</t>
  </si>
  <si>
    <t>Eau Chaude Sanitaire</t>
  </si>
  <si>
    <t>ECS</t>
  </si>
  <si>
    <t>Cuisson</t>
  </si>
  <si>
    <t>Consommations électriques autres</t>
  </si>
  <si>
    <t>Consommations spécifiques</t>
  </si>
  <si>
    <t>Réfrigération</t>
  </si>
  <si>
    <t>Lavage (dont lave vaisselle)</t>
  </si>
  <si>
    <t>Eclairage</t>
  </si>
  <si>
    <t>Audiovisuel/ Informatique</t>
  </si>
  <si>
    <t>Divers</t>
  </si>
  <si>
    <t>Total</t>
  </si>
  <si>
    <r>
      <t>Consommations d'eau réelles en m</t>
    </r>
    <r>
      <rPr>
        <b/>
        <vertAlign val="superscript"/>
        <sz val="11"/>
        <color indexed="8"/>
        <rFont val="Calibri"/>
        <family val="2"/>
      </rPr>
      <t>3</t>
    </r>
    <r>
      <rPr>
        <b/>
        <sz val="11"/>
        <color indexed="8"/>
        <rFont val="Calibri"/>
        <family val="2"/>
      </rPr>
      <t>/an</t>
    </r>
  </si>
  <si>
    <r>
      <t>Consommation standard en m</t>
    </r>
    <r>
      <rPr>
        <b/>
        <vertAlign val="superscript"/>
        <sz val="11"/>
        <color indexed="8"/>
        <rFont val="Calibri"/>
        <family val="2"/>
      </rPr>
      <t>3</t>
    </r>
    <r>
      <rPr>
        <b/>
        <sz val="11"/>
        <color indexed="8"/>
        <rFont val="Calibri"/>
        <family val="2"/>
      </rPr>
      <t>/an</t>
    </r>
  </si>
  <si>
    <t>Total eau</t>
  </si>
  <si>
    <t>Total factures eau + énergie</t>
  </si>
  <si>
    <t>Abonnement élec.</t>
  </si>
  <si>
    <t>Nb adultes</t>
  </si>
  <si>
    <t>Usage appareils lavage en HC</t>
  </si>
  <si>
    <t>Nb enfants</t>
  </si>
  <si>
    <t>Coupe-veille audiovisuel</t>
  </si>
  <si>
    <t>Nb adolescents</t>
  </si>
  <si>
    <t>Coupe-veille informatique</t>
  </si>
  <si>
    <t>Nb bébés</t>
  </si>
  <si>
    <t>Nb de semaine d'absence/an</t>
  </si>
  <si>
    <t>ECS electrique ?</t>
  </si>
  <si>
    <t>Simple tarif</t>
  </si>
  <si>
    <t>Toujours</t>
  </si>
  <si>
    <t>oui</t>
  </si>
  <si>
    <t>HC / HP</t>
  </si>
  <si>
    <t>Parfois</t>
  </si>
  <si>
    <t>non</t>
  </si>
  <si>
    <t>Jamais</t>
  </si>
  <si>
    <t>kWh</t>
  </si>
  <si>
    <t>€</t>
  </si>
  <si>
    <r>
      <t>m</t>
    </r>
    <r>
      <rPr>
        <b/>
        <vertAlign val="superscript"/>
        <sz val="14"/>
        <color indexed="8"/>
        <rFont val="Calibri"/>
        <family val="2"/>
      </rPr>
      <t>3</t>
    </r>
  </si>
  <si>
    <t>ENERGIE</t>
  </si>
  <si>
    <t>TOTAL</t>
  </si>
  <si>
    <t>EAU</t>
  </si>
  <si>
    <t>Lavage</t>
  </si>
  <si>
    <t>Bains, douches</t>
  </si>
  <si>
    <t>Froid</t>
  </si>
  <si>
    <t>WC</t>
  </si>
  <si>
    <t>Linge</t>
  </si>
  <si>
    <t>Petit électroménager</t>
  </si>
  <si>
    <t>Vaisselle</t>
  </si>
  <si>
    <t>Cuisson, boisson</t>
  </si>
  <si>
    <t>Audiovisuel</t>
  </si>
  <si>
    <t>Ménage</t>
  </si>
  <si>
    <t>Informatique - Comm</t>
  </si>
  <si>
    <t>Autres</t>
  </si>
  <si>
    <t>Auxiliaires chauff-ventil</t>
  </si>
  <si>
    <t>Coût annuel électricité selon l'abonnement</t>
  </si>
  <si>
    <t>Consommation et coût Eau</t>
  </si>
  <si>
    <t>Eau</t>
  </si>
  <si>
    <t>Sources/hypothèses</t>
  </si>
  <si>
    <t>Appareil</t>
  </si>
  <si>
    <t>Précision</t>
  </si>
  <si>
    <t>Fréquence usage</t>
  </si>
  <si>
    <r>
      <t>Puissance moy.(W)</t>
    </r>
    <r>
      <rPr>
        <sz val="11"/>
        <color indexed="8"/>
        <rFont val="Calibri"/>
        <family val="2"/>
      </rPr>
      <t xml:space="preserve"> ou </t>
    </r>
    <r>
      <rPr>
        <sz val="11"/>
        <color indexed="12"/>
        <rFont val="Calibri"/>
        <family val="2"/>
      </rPr>
      <t>conso (kWh) par cycle</t>
    </r>
  </si>
  <si>
    <r>
      <t xml:space="preserve">Conso eau </t>
    </r>
    <r>
      <rPr>
        <sz val="11"/>
        <color indexed="12"/>
        <rFont val="Calibri"/>
        <family val="2"/>
      </rPr>
      <t xml:space="preserve">par cycle </t>
    </r>
    <r>
      <rPr>
        <sz val="11"/>
        <color indexed="8"/>
        <rFont val="Calibri"/>
        <family val="2"/>
      </rPr>
      <t xml:space="preserve">ou </t>
    </r>
    <r>
      <rPr>
        <sz val="11"/>
        <color indexed="53"/>
        <rFont val="Calibri"/>
        <family val="2"/>
      </rPr>
      <t xml:space="preserve">par min </t>
    </r>
  </si>
  <si>
    <t>Conso elec/an 1 appareil
(kWh)</t>
  </si>
  <si>
    <t>100% HC</t>
  </si>
  <si>
    <t>100% HP</t>
  </si>
  <si>
    <t>30% HC
70% HP</t>
  </si>
  <si>
    <t>Conso eau /an (m3)</t>
  </si>
  <si>
    <t>Coût eau /an (€)</t>
  </si>
  <si>
    <t>Conso elec/an (kWh)</t>
  </si>
  <si>
    <t>Coût elec /an (€)</t>
  </si>
  <si>
    <t>LAVAGE</t>
  </si>
  <si>
    <t>Lave linge</t>
  </si>
  <si>
    <t>plus de 10 ans</t>
  </si>
  <si>
    <t>cycles/sem</t>
  </si>
  <si>
    <t>Energie : AEE 2008 (Site Enertech) ; eau : estimé</t>
  </si>
  <si>
    <t>moyenne</t>
  </si>
  <si>
    <t>récent A++</t>
  </si>
  <si>
    <t xml:space="preserve">Topten : Etiq énergie : 0,95 kWh/cycle 60°C -40% (eccart mesuré entre lavage 60°C et moyenne dans AEE) </t>
  </si>
  <si>
    <t>Lave vaisselle</t>
  </si>
  <si>
    <t>Topten</t>
  </si>
  <si>
    <t>Sèche linge</t>
  </si>
  <si>
    <t>classe C / ancien</t>
  </si>
  <si>
    <t>Constaté sur le marché</t>
  </si>
  <si>
    <t>ECUEL (Site Enertech)</t>
  </si>
  <si>
    <t>classe A</t>
  </si>
  <si>
    <t>FROID</t>
  </si>
  <si>
    <t>Réfrigérateur</t>
  </si>
  <si>
    <t>-</t>
  </si>
  <si>
    <t>Contacts</t>
  </si>
  <si>
    <t>Objectifs</t>
  </si>
  <si>
    <t>L'objectif de ce fichier est de comparer la situation d'un foyer avec des moyennes issues d'études nationales.</t>
  </si>
  <si>
    <r>
      <t xml:space="preserve">Feuille, "Description générale": 
</t>
    </r>
    <r>
      <rPr>
        <sz val="11"/>
        <color indexed="8"/>
        <rFont val="Calibri"/>
        <family val="2"/>
      </rPr>
      <t>Permet, à partir d'un descriptif succinct de l'habitation et du relevé des factures d'énergies, de comparer ces informations à des moyennes nationales et ainsi détecter d'éventuelles sur(ou sous-)consommations.</t>
    </r>
  </si>
  <si>
    <r>
      <t xml:space="preserve">Feuille "Consommation appareils" :  
</t>
    </r>
    <r>
      <rPr>
        <sz val="11"/>
        <color indexed="8"/>
        <rFont val="Calibri"/>
        <family val="2"/>
      </rPr>
      <t>Cette feuille permet d'affiner les consommations d'électricité (hors chauffage) et d'eau en décrivant plus précisément les appareils et les usages du foyer.
De plus elle permet d'estimer les économies ou surcoûts liés à l'achat d'un nouvel appareil.</t>
    </r>
  </si>
  <si>
    <r>
      <t xml:space="preserve">Feuille "Conso déplacement" : 
</t>
    </r>
    <r>
      <rPr>
        <sz val="11"/>
        <color indexed="8"/>
        <rFont val="Calibri"/>
        <family val="2"/>
      </rPr>
      <t>Elle permet d'estimer les coûts liés à l'usage de la voiture.</t>
    </r>
  </si>
  <si>
    <r>
      <t xml:space="preserve">Feuille "Check list visite" : 
</t>
    </r>
    <r>
      <rPr>
        <sz val="11"/>
        <color indexed="8"/>
        <rFont val="Calibri"/>
        <family val="2"/>
      </rPr>
      <t xml:space="preserve">Elle recense l'ensemble des informations à recueillir lors d'une visite à domicile pour renseigner les feuilles décrites ci-dessus et détecter d'éventuels points problématiques au niveau du logement (alertes en rouge, points à améliorer ou à surveiller en orange) </t>
    </r>
  </si>
  <si>
    <t>Saisie des informations</t>
  </si>
  <si>
    <t>Feuille "Description générale"</t>
  </si>
  <si>
    <t>Les cases en orange sont à renseigner</t>
  </si>
  <si>
    <t>Toutes les énergies (chauffage, ECS et cuisson) doivent-être saisies</t>
  </si>
  <si>
    <t>Feuille "Consommation appareils"</t>
  </si>
  <si>
    <t>Les valeurs des cellules de F36 à I145 sont modifiables</t>
  </si>
  <si>
    <t>Feuille "Conso déplacement"</t>
  </si>
  <si>
    <t>Ce classeur étant un modèle, vous pouvez sauvegarder un cas particulier sous un nom donné sans que cela n'altère le classeur de base, qu'il suffira d'ouvrir à nouveau pour un autre cas.</t>
  </si>
  <si>
    <t>Description du logement</t>
  </si>
  <si>
    <t>Consommations annuelles du logement</t>
  </si>
  <si>
    <r>
      <t>m</t>
    </r>
    <r>
      <rPr>
        <b/>
        <vertAlign val="superscript"/>
        <sz val="11"/>
        <color indexed="8"/>
        <rFont val="Calibri"/>
        <family val="2"/>
      </rPr>
      <t>3</t>
    </r>
  </si>
  <si>
    <t>Type logement</t>
  </si>
  <si>
    <t>Consommation d'eau</t>
  </si>
  <si>
    <t>Nombre de personnes</t>
  </si>
  <si>
    <t>Surface habitable</t>
  </si>
  <si>
    <t>Type d'énergie</t>
  </si>
  <si>
    <t>Quantité</t>
  </si>
  <si>
    <t>Unités</t>
  </si>
  <si>
    <t>Kwh</t>
  </si>
  <si>
    <t>Niveau d'isolation</t>
  </si>
  <si>
    <t>Electricité</t>
  </si>
  <si>
    <t>Surface de vitrage</t>
  </si>
  <si>
    <t>Cout des énergies (€/kWh)</t>
  </si>
  <si>
    <t>Energie chauffage</t>
  </si>
  <si>
    <t>Energie chauffage d'appoint</t>
  </si>
  <si>
    <t>Energie ECS</t>
  </si>
  <si>
    <t>Energie cuisson (plaques)</t>
  </si>
  <si>
    <t>Total énergie</t>
  </si>
  <si>
    <t>Consommations Standard</t>
  </si>
</sst>
</file>

<file path=xl/styles.xml><?xml version="1.0" encoding="utf-8"?>
<styleSheet xmlns="http://schemas.openxmlformats.org/spreadsheetml/2006/main">
  <numFmts count="13">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0&quot; €&quot;"/>
    <numFmt numFmtId="165" formatCode="#,##0.0"/>
    <numFmt numFmtId="166" formatCode="_(\€* #,##0.00_);_(\€* \(#,##0.00\);_(\€* \-??_);_(@_)"/>
    <numFmt numFmtId="167" formatCode="_-* #,##0&quot; €&quot;_-;\-* #,##0&quot; €&quot;_-;_-* \-??&quot; €&quot;_-;_-@_-"/>
    <numFmt numFmtId="168" formatCode="0.0000"/>
  </numFmts>
  <fonts count="62">
    <font>
      <sz val="11"/>
      <color indexed="8"/>
      <name val="Calibri"/>
      <family val="2"/>
    </font>
    <font>
      <sz val="10"/>
      <name val="Arial"/>
      <family val="0"/>
    </font>
    <font>
      <b/>
      <u val="single"/>
      <sz val="20"/>
      <color indexed="17"/>
      <name val="Calibri"/>
      <family val="2"/>
    </font>
    <font>
      <u val="single"/>
      <sz val="11"/>
      <color indexed="12"/>
      <name val="Calibri"/>
      <family val="2"/>
    </font>
    <font>
      <b/>
      <sz val="16"/>
      <color indexed="8"/>
      <name val="Calibri"/>
      <family val="2"/>
    </font>
    <font>
      <b/>
      <sz val="11"/>
      <color indexed="8"/>
      <name val="Calibri"/>
      <family val="2"/>
    </font>
    <font>
      <b/>
      <sz val="12"/>
      <color indexed="8"/>
      <name val="Calibri"/>
      <family val="2"/>
    </font>
    <font>
      <b/>
      <sz val="22"/>
      <color indexed="17"/>
      <name val="Calibri"/>
      <family val="2"/>
    </font>
    <font>
      <b/>
      <sz val="20"/>
      <color indexed="17"/>
      <name val="Calibri"/>
      <family val="2"/>
    </font>
    <font>
      <b/>
      <vertAlign val="superscript"/>
      <sz val="11"/>
      <color indexed="8"/>
      <name val="Calibri"/>
      <family val="2"/>
    </font>
    <font>
      <b/>
      <sz val="11"/>
      <color indexed="10"/>
      <name val="Calibri"/>
      <family val="2"/>
    </font>
    <font>
      <i/>
      <sz val="11"/>
      <color indexed="8"/>
      <name val="Calibri"/>
      <family val="2"/>
    </font>
    <font>
      <sz val="9"/>
      <color indexed="8"/>
      <name val="Calibri"/>
      <family val="2"/>
    </font>
    <font>
      <sz val="20"/>
      <color indexed="8"/>
      <name val="Calibri"/>
      <family val="2"/>
    </font>
    <font>
      <b/>
      <sz val="14"/>
      <color indexed="8"/>
      <name val="Calibri"/>
      <family val="2"/>
    </font>
    <font>
      <b/>
      <sz val="10"/>
      <color indexed="8"/>
      <name val="Calibri"/>
      <family val="2"/>
    </font>
    <font>
      <sz val="14"/>
      <color indexed="8"/>
      <name val="Calibri"/>
      <family val="2"/>
    </font>
    <font>
      <b/>
      <sz val="8"/>
      <color indexed="8"/>
      <name val="Tahoma"/>
      <family val="2"/>
    </font>
    <font>
      <sz val="8"/>
      <color indexed="8"/>
      <name val="Tahoma"/>
      <family val="2"/>
    </font>
    <font>
      <sz val="11"/>
      <color indexed="55"/>
      <name val="Calibri"/>
      <family val="2"/>
    </font>
    <font>
      <b/>
      <vertAlign val="superscript"/>
      <sz val="14"/>
      <color indexed="8"/>
      <name val="Calibri"/>
      <family val="2"/>
    </font>
    <font>
      <b/>
      <sz val="11"/>
      <color indexed="55"/>
      <name val="Calibri"/>
      <family val="2"/>
    </font>
    <font>
      <b/>
      <sz val="11"/>
      <name val="Calibri"/>
      <family val="2"/>
    </font>
    <font>
      <sz val="11"/>
      <color indexed="53"/>
      <name val="Calibri"/>
      <family val="2"/>
    </font>
    <font>
      <sz val="11"/>
      <color indexed="12"/>
      <name val="Calibri"/>
      <family val="2"/>
    </font>
    <font>
      <sz val="10"/>
      <color indexed="55"/>
      <name val="Calibri"/>
      <family val="2"/>
    </font>
    <font>
      <sz val="10"/>
      <color indexed="8"/>
      <name val="Calibri"/>
      <family val="2"/>
    </font>
    <font>
      <sz val="11"/>
      <color indexed="23"/>
      <name val="Calibri"/>
      <family val="2"/>
    </font>
    <font>
      <b/>
      <sz val="11"/>
      <color indexed="9"/>
      <name val="Calibri"/>
      <family val="2"/>
    </font>
    <font>
      <sz val="11"/>
      <color indexed="30"/>
      <name val="Calibri"/>
      <family val="2"/>
    </font>
    <font>
      <b/>
      <vertAlign val="superscript"/>
      <sz val="11"/>
      <name val="Calibri"/>
      <family val="2"/>
    </font>
    <font>
      <sz val="11"/>
      <color indexed="51"/>
      <name val="Calibri"/>
      <family val="2"/>
    </font>
    <font>
      <b/>
      <sz val="16"/>
      <color indexed="17"/>
      <name val="Calibri"/>
      <family val="2"/>
    </font>
    <font>
      <sz val="8"/>
      <name val="Tahoma"/>
      <family val="2"/>
    </font>
    <font>
      <b/>
      <sz val="18"/>
      <color indexed="8"/>
      <name val="Calibri"/>
      <family val="2"/>
    </font>
    <font>
      <sz val="11"/>
      <name val="Calibri"/>
      <family val="2"/>
    </font>
    <font>
      <b/>
      <sz val="18"/>
      <color indexed="17"/>
      <name val="Calibri"/>
      <family val="2"/>
    </font>
    <font>
      <sz val="16"/>
      <color indexed="8"/>
      <name val="Calibri"/>
      <family val="2"/>
    </font>
    <font>
      <b/>
      <sz val="16"/>
      <color indexed="23"/>
      <name val="Calibri"/>
      <family val="2"/>
    </font>
    <font>
      <b/>
      <sz val="16"/>
      <color indexed="8"/>
      <name val="Symbol"/>
      <family val="1"/>
    </font>
    <font>
      <sz val="12"/>
      <color indexed="8"/>
      <name val="Calibri"/>
      <family val="2"/>
    </font>
    <font>
      <sz val="11"/>
      <color indexed="10"/>
      <name val="Calibri"/>
      <family val="2"/>
    </font>
    <font>
      <sz val="9"/>
      <color indexed="23"/>
      <name val="Calibri"/>
      <family val="2"/>
    </font>
    <font>
      <sz val="12"/>
      <color indexed="8"/>
      <name val="Wingdings"/>
      <family val="0"/>
    </font>
    <font>
      <sz val="12"/>
      <color indexed="10"/>
      <name val="Wingdings"/>
      <family val="0"/>
    </font>
    <font>
      <sz val="12"/>
      <color indexed="10"/>
      <name val="Calibri"/>
      <family val="2"/>
    </font>
    <font>
      <sz val="12"/>
      <color indexed="51"/>
      <name val="Wingdings"/>
      <family val="0"/>
    </font>
    <font>
      <sz val="12"/>
      <color indexed="51"/>
      <name val="Calibri"/>
      <family val="2"/>
    </font>
    <font>
      <sz val="12"/>
      <name val="Calibri"/>
      <family val="2"/>
    </font>
    <font>
      <sz val="12"/>
      <color indexed="10"/>
      <name val="Cambria"/>
      <family val="1"/>
    </font>
    <font>
      <sz val="12"/>
      <name val="Wingdings"/>
      <family val="0"/>
    </font>
    <font>
      <i/>
      <sz val="12"/>
      <color indexed="51"/>
      <name val="Calibri"/>
      <family val="2"/>
    </font>
    <font>
      <vertAlign val="superscript"/>
      <sz val="12"/>
      <color indexed="8"/>
      <name val="Calibri"/>
      <family val="2"/>
    </font>
    <font>
      <sz val="10"/>
      <name val="Calibri"/>
      <family val="2"/>
    </font>
    <font>
      <sz val="12"/>
      <color indexed="52"/>
      <name val="Wingdings"/>
      <family val="0"/>
    </font>
    <font>
      <sz val="12"/>
      <color indexed="52"/>
      <name val="Cambria"/>
      <family val="1"/>
    </font>
    <font>
      <sz val="12"/>
      <color indexed="52"/>
      <name val="Calibri"/>
      <family val="2"/>
    </font>
    <font>
      <sz val="48"/>
      <color indexed="8"/>
      <name val="Calibri"/>
      <family val="2"/>
    </font>
    <font>
      <sz val="22"/>
      <color indexed="8"/>
      <name val="Calibri"/>
      <family val="2"/>
    </font>
    <font>
      <i/>
      <sz val="10"/>
      <color indexed="8"/>
      <name val="Calibri"/>
      <family val="2"/>
    </font>
    <font>
      <b/>
      <i/>
      <sz val="11"/>
      <color indexed="8"/>
      <name val="Calibri"/>
      <family val="2"/>
    </font>
    <font>
      <b/>
      <sz val="8"/>
      <name val="Calibri"/>
      <family val="2"/>
    </font>
  </fonts>
  <fills count="13">
    <fill>
      <patternFill/>
    </fill>
    <fill>
      <patternFill patternType="gray125"/>
    </fill>
    <fill>
      <patternFill patternType="solid">
        <fgColor indexed="51"/>
        <bgColor indexed="64"/>
      </patternFill>
    </fill>
    <fill>
      <patternFill patternType="solid">
        <fgColor indexed="22"/>
        <bgColor indexed="64"/>
      </patternFill>
    </fill>
    <fill>
      <patternFill patternType="solid">
        <fgColor indexed="29"/>
        <bgColor indexed="64"/>
      </patternFill>
    </fill>
    <fill>
      <patternFill patternType="solid">
        <fgColor indexed="45"/>
        <bgColor indexed="64"/>
      </patternFill>
    </fill>
    <fill>
      <patternFill patternType="solid">
        <fgColor indexed="31"/>
        <bgColor indexed="64"/>
      </patternFill>
    </fill>
    <fill>
      <patternFill patternType="solid">
        <fgColor indexed="9"/>
        <bgColor indexed="64"/>
      </patternFill>
    </fill>
    <fill>
      <patternFill patternType="solid">
        <fgColor indexed="23"/>
        <bgColor indexed="64"/>
      </patternFill>
    </fill>
    <fill>
      <patternFill patternType="solid">
        <fgColor indexed="10"/>
        <bgColor indexed="64"/>
      </patternFill>
    </fill>
    <fill>
      <patternFill patternType="solid">
        <fgColor indexed="13"/>
        <bgColor indexed="64"/>
      </patternFill>
    </fill>
    <fill>
      <patternFill patternType="solid">
        <fgColor indexed="49"/>
        <bgColor indexed="64"/>
      </patternFill>
    </fill>
    <fill>
      <patternFill patternType="solid">
        <fgColor indexed="44"/>
        <bgColor indexed="64"/>
      </patternFill>
    </fill>
  </fills>
  <borders count="65">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8"/>
      </right>
      <top style="thin">
        <color indexed="55"/>
      </top>
      <bottom style="thin">
        <color indexed="55"/>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55"/>
      </right>
      <top style="thin">
        <color indexed="55"/>
      </top>
      <bottom style="thin">
        <color indexed="8"/>
      </bottom>
    </border>
    <border>
      <left style="thin">
        <color indexed="55"/>
      </left>
      <right style="thin">
        <color indexed="55"/>
      </right>
      <top style="thin">
        <color indexed="55"/>
      </top>
      <bottom style="thin">
        <color indexed="8"/>
      </bottom>
    </border>
    <border>
      <left style="thin">
        <color indexed="55"/>
      </left>
      <right style="thin">
        <color indexed="8"/>
      </right>
      <top style="thin">
        <color indexed="55"/>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55"/>
      </right>
      <top style="thin">
        <color indexed="55"/>
      </top>
      <bottom style="thin">
        <color indexed="55"/>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diagonalUp="1">
      <left style="thin">
        <color indexed="8"/>
      </left>
      <right style="thin">
        <color indexed="8"/>
      </right>
      <top style="thin">
        <color indexed="8"/>
      </top>
      <bottom style="thin">
        <color indexed="8"/>
      </bottom>
      <diagonal style="thin">
        <color indexed="8"/>
      </diagonal>
    </border>
    <border>
      <left>
        <color indexed="63"/>
      </left>
      <right style="thin">
        <color indexed="8"/>
      </right>
      <top>
        <color indexed="63"/>
      </top>
      <bottom>
        <color indexed="63"/>
      </bottom>
    </border>
    <border>
      <left style="medium">
        <color indexed="8"/>
      </left>
      <right style="thin">
        <color indexed="8"/>
      </right>
      <top style="thin">
        <color indexed="8"/>
      </top>
      <bottom>
        <color indexed="63"/>
      </bottom>
    </border>
    <border diagonalUp="1">
      <left style="medium">
        <color indexed="8"/>
      </left>
      <right style="thin">
        <color indexed="8"/>
      </right>
      <top style="thin">
        <color indexed="8"/>
      </top>
      <bottom style="thin">
        <color indexed="8"/>
      </bottom>
      <diagonal style="thin">
        <color indexed="8"/>
      </diagonal>
    </border>
    <border diagonalUp="1">
      <left style="thin">
        <color indexed="8"/>
      </left>
      <right style="medium">
        <color indexed="8"/>
      </right>
      <top style="thin">
        <color indexed="8"/>
      </top>
      <bottom style="thin">
        <color indexed="8"/>
      </bottom>
      <diagonal style="thin">
        <color indexed="8"/>
      </diagonal>
    </border>
    <border diagonalUp="1">
      <left style="thin">
        <color indexed="8"/>
      </left>
      <right style="thin">
        <color indexed="8"/>
      </right>
      <top style="thin">
        <color indexed="8"/>
      </top>
      <bottom>
        <color indexed="63"/>
      </bottom>
      <diagonal style="thin">
        <color indexed="8"/>
      </diagonal>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diagonalUp="1">
      <left style="thin">
        <color indexed="8"/>
      </left>
      <right style="thin">
        <color indexed="8"/>
      </right>
      <top style="thin">
        <color indexed="8"/>
      </top>
      <bottom style="medium">
        <color indexed="8"/>
      </bottom>
      <diagonal style="thin">
        <color indexed="8"/>
      </diagonal>
    </border>
    <border diagonalUp="1">
      <left style="medium">
        <color indexed="8"/>
      </left>
      <right style="thin">
        <color indexed="8"/>
      </right>
      <top style="thin">
        <color indexed="8"/>
      </top>
      <bottom style="medium">
        <color indexed="8"/>
      </bottom>
      <diagonal style="thin">
        <color indexed="8"/>
      </diagonal>
    </border>
    <border diagonalUp="1">
      <left style="thin">
        <color indexed="8"/>
      </left>
      <right style="medium">
        <color indexed="8"/>
      </right>
      <top style="thin">
        <color indexed="8"/>
      </top>
      <bottom style="medium">
        <color indexed="8"/>
      </bottom>
      <diagonal style="thin">
        <color indexed="8"/>
      </diagonal>
    </border>
    <border>
      <left>
        <color indexed="63"/>
      </left>
      <right>
        <color indexed="63"/>
      </right>
      <top style="thin">
        <color indexed="8"/>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medium">
        <color indexed="8"/>
      </left>
      <right style="medium">
        <color indexed="8"/>
      </right>
      <top style="medium">
        <color indexed="8"/>
      </top>
      <bottom style="medium">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hair">
        <color indexed="8"/>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color indexed="63"/>
      </top>
      <bottom>
        <color indexed="63"/>
      </bottom>
    </border>
    <border>
      <left style="thin">
        <color indexed="8"/>
      </left>
      <right>
        <color indexed="63"/>
      </right>
      <top style="hair">
        <color indexed="8"/>
      </top>
      <bottom style="hair">
        <color indexed="8"/>
      </bottom>
    </border>
    <border>
      <left style="thin">
        <color indexed="8"/>
      </left>
      <right>
        <color indexed="63"/>
      </right>
      <top>
        <color indexed="63"/>
      </top>
      <bottom style="hair">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thin">
        <color indexed="8"/>
      </top>
      <bottom style="thin">
        <color indexed="8"/>
      </bottom>
    </border>
    <border>
      <left style="thin">
        <color indexed="8"/>
      </left>
      <right style="thin">
        <color indexed="55"/>
      </right>
      <top style="thin">
        <color indexed="8"/>
      </top>
      <bottom style="thin">
        <color indexed="55"/>
      </bottom>
    </border>
    <border>
      <left style="thin">
        <color indexed="55"/>
      </left>
      <right style="thin">
        <color indexed="8"/>
      </right>
      <top style="thin">
        <color indexed="8"/>
      </top>
      <bottom style="thin">
        <color indexed="55"/>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59">
    <xf numFmtId="0" fontId="0" fillId="0" borderId="0" xfId="0" applyAlignment="1">
      <alignment/>
    </xf>
    <xf numFmtId="0" fontId="2" fillId="0" borderId="0" xfId="15" applyNumberFormat="1" applyFont="1" applyFill="1" applyBorder="1" applyAlignment="1" applyProtection="1">
      <alignment/>
      <protection/>
    </xf>
    <xf numFmtId="0" fontId="2" fillId="0" borderId="0" xfId="0" applyFont="1" applyAlignment="1">
      <alignment/>
    </xf>
    <xf numFmtId="0" fontId="4" fillId="0" borderId="0" xfId="0" applyFont="1" applyAlignment="1">
      <alignment/>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horizontal="center"/>
    </xf>
    <xf numFmtId="0" fontId="6" fillId="0" borderId="0" xfId="0" applyFont="1" applyAlignment="1">
      <alignment/>
    </xf>
    <xf numFmtId="0" fontId="0" fillId="0" borderId="0" xfId="0" applyFont="1" applyBorder="1" applyAlignment="1">
      <alignment vertical="center" wrapText="1"/>
    </xf>
    <xf numFmtId="0" fontId="5" fillId="0" borderId="0" xfId="0" applyFont="1" applyAlignment="1">
      <alignment/>
    </xf>
    <xf numFmtId="0" fontId="0" fillId="0" borderId="0" xfId="0" applyFill="1" applyAlignment="1">
      <alignment/>
    </xf>
    <xf numFmtId="0" fontId="7" fillId="0" borderId="0" xfId="0" applyFont="1" applyAlignment="1">
      <alignment horizontal="center"/>
    </xf>
    <xf numFmtId="0" fontId="0" fillId="0" borderId="0" xfId="0" applyBorder="1" applyAlignment="1">
      <alignment horizontal="center"/>
    </xf>
    <xf numFmtId="0" fontId="0" fillId="0" borderId="1" xfId="0" applyFill="1" applyBorder="1" applyAlignment="1">
      <alignment/>
    </xf>
    <xf numFmtId="0" fontId="5" fillId="0" borderId="1" xfId="0" applyFont="1" applyBorder="1" applyAlignment="1">
      <alignment horizontal="center"/>
    </xf>
    <xf numFmtId="0" fontId="0" fillId="0" borderId="1" xfId="0" applyFont="1" applyBorder="1" applyAlignment="1">
      <alignment/>
    </xf>
    <xf numFmtId="0" fontId="0" fillId="2" borderId="2" xfId="0" applyFill="1" applyBorder="1" applyAlignment="1" applyProtection="1">
      <alignment/>
      <protection locked="0"/>
    </xf>
    <xf numFmtId="0" fontId="10" fillId="0" borderId="3" xfId="0" applyFont="1" applyBorder="1" applyAlignment="1">
      <alignment/>
    </xf>
    <xf numFmtId="0" fontId="0" fillId="0" borderId="0" xfId="0" applyBorder="1" applyAlignment="1">
      <alignment/>
    </xf>
    <xf numFmtId="0" fontId="5" fillId="0" borderId="1" xfId="0" applyFont="1" applyFill="1" applyBorder="1" applyAlignment="1">
      <alignment vertical="center" wrapText="1"/>
    </xf>
    <xf numFmtId="3" fontId="0" fillId="2" borderId="1" xfId="0" applyNumberFormat="1" applyFill="1" applyBorder="1" applyAlignment="1" applyProtection="1">
      <alignment/>
      <protection locked="0"/>
    </xf>
    <xf numFmtId="0" fontId="10" fillId="0" borderId="0" xfId="0" applyFont="1" applyBorder="1" applyAlignment="1">
      <alignment/>
    </xf>
    <xf numFmtId="0" fontId="0" fillId="0" borderId="4" xfId="0" applyFill="1" applyBorder="1" applyAlignment="1">
      <alignment/>
    </xf>
    <xf numFmtId="0" fontId="0" fillId="0" borderId="4" xfId="0" applyBorder="1" applyAlignment="1">
      <alignment/>
    </xf>
    <xf numFmtId="0" fontId="0" fillId="2" borderId="2" xfId="0" applyFill="1" applyBorder="1" applyAlignment="1" applyProtection="1">
      <alignment horizontal="right"/>
      <protection locked="0"/>
    </xf>
    <xf numFmtId="0" fontId="0" fillId="0" borderId="3" xfId="0" applyBorder="1" applyAlignment="1">
      <alignment/>
    </xf>
    <xf numFmtId="0" fontId="5" fillId="0" borderId="1" xfId="0" applyFont="1" applyFill="1" applyBorder="1" applyAlignment="1">
      <alignment/>
    </xf>
    <xf numFmtId="0" fontId="0" fillId="2" borderId="2" xfId="0" applyFill="1" applyBorder="1" applyAlignment="1" applyProtection="1">
      <alignment horizontal="left" wrapText="1"/>
      <protection locked="0"/>
    </xf>
    <xf numFmtId="0" fontId="0" fillId="0" borderId="5" xfId="0" applyBorder="1" applyAlignment="1">
      <alignment/>
    </xf>
    <xf numFmtId="3" fontId="0" fillId="0" borderId="1" xfId="0" applyNumberFormat="1" applyBorder="1" applyAlignment="1">
      <alignment/>
    </xf>
    <xf numFmtId="0" fontId="0" fillId="2" borderId="1" xfId="0" applyFill="1" applyBorder="1" applyAlignment="1" applyProtection="1">
      <alignment/>
      <protection locked="0"/>
    </xf>
    <xf numFmtId="0" fontId="0" fillId="0" borderId="1" xfId="0" applyBorder="1" applyAlignment="1">
      <alignment horizontal="right"/>
    </xf>
    <xf numFmtId="0" fontId="0" fillId="0" borderId="0" xfId="0" applyBorder="1" applyAlignment="1">
      <alignment horizontal="right"/>
    </xf>
    <xf numFmtId="0" fontId="11" fillId="0" borderId="1" xfId="0" applyFont="1" applyBorder="1" applyAlignment="1">
      <alignment horizontal="right"/>
    </xf>
    <xf numFmtId="0" fontId="0" fillId="0" borderId="6" xfId="0" applyBorder="1" applyAlignment="1">
      <alignment horizontal="right"/>
    </xf>
    <xf numFmtId="3" fontId="0" fillId="0" borderId="1" xfId="0" applyNumberFormat="1" applyBorder="1" applyAlignment="1">
      <alignment horizontal="right"/>
    </xf>
    <xf numFmtId="0" fontId="0" fillId="0" borderId="0" xfId="0" applyAlignment="1">
      <alignment horizontal="left"/>
    </xf>
    <xf numFmtId="0" fontId="5" fillId="3" borderId="1" xfId="0" applyFont="1" applyFill="1" applyBorder="1" applyAlignment="1">
      <alignment/>
    </xf>
    <xf numFmtId="3" fontId="5" fillId="3" borderId="1" xfId="0" applyNumberFormat="1" applyFont="1" applyFill="1" applyBorder="1" applyAlignment="1">
      <alignment/>
    </xf>
    <xf numFmtId="0" fontId="12" fillId="0" borderId="0" xfId="0" applyFont="1" applyAlignment="1">
      <alignment vertical="center" wrapText="1"/>
    </xf>
    <xf numFmtId="0" fontId="12" fillId="0" borderId="0" xfId="0" applyFont="1" applyFill="1" applyAlignment="1">
      <alignment vertical="center" wrapText="1"/>
    </xf>
    <xf numFmtId="0" fontId="13" fillId="0" borderId="0" xfId="0" applyFont="1" applyFill="1" applyAlignment="1">
      <alignment vertical="center" wrapText="1"/>
    </xf>
    <xf numFmtId="0" fontId="14" fillId="0" borderId="4" xfId="0" applyFont="1" applyBorder="1" applyAlignment="1">
      <alignment horizontal="center"/>
    </xf>
    <xf numFmtId="0" fontId="14" fillId="0" borderId="1" xfId="0" applyFont="1" applyBorder="1" applyAlignment="1">
      <alignment horizontal="center" vertical="center" wrapText="1"/>
    </xf>
    <xf numFmtId="3" fontId="14" fillId="4" borderId="1" xfId="0" applyNumberFormat="1" applyFont="1" applyFill="1" applyBorder="1" applyAlignment="1">
      <alignment horizontal="center" vertical="center"/>
    </xf>
    <xf numFmtId="3" fontId="14" fillId="5" borderId="1" xfId="0" applyNumberFormat="1" applyFont="1" applyFill="1" applyBorder="1" applyAlignment="1">
      <alignment horizontal="center" vertical="center"/>
    </xf>
    <xf numFmtId="0" fontId="14" fillId="0" borderId="1" xfId="0" applyFont="1" applyBorder="1" applyAlignment="1">
      <alignment horizontal="center" vertical="center"/>
    </xf>
    <xf numFmtId="0" fontId="16" fillId="0" borderId="1" xfId="0" applyFont="1" applyBorder="1" applyAlignment="1">
      <alignment vertical="center"/>
    </xf>
    <xf numFmtId="3" fontId="16" fillId="4" borderId="1" xfId="0" applyNumberFormat="1" applyFont="1" applyFill="1" applyBorder="1" applyAlignment="1">
      <alignment vertical="center"/>
    </xf>
    <xf numFmtId="3" fontId="16" fillId="5" borderId="1" xfId="0" applyNumberFormat="1" applyFont="1" applyFill="1" applyBorder="1" applyAlignment="1">
      <alignment vertical="center"/>
    </xf>
    <xf numFmtId="3" fontId="12" fillId="0" borderId="0" xfId="0" applyNumberFormat="1" applyFont="1" applyAlignment="1">
      <alignment vertical="center" wrapText="1"/>
    </xf>
    <xf numFmtId="0" fontId="16" fillId="0" borderId="1" xfId="0" applyFont="1" applyBorder="1" applyAlignment="1">
      <alignment vertical="center" wrapText="1"/>
    </xf>
    <xf numFmtId="0" fontId="10" fillId="0" borderId="0" xfId="0" applyFont="1" applyAlignment="1">
      <alignment horizontal="left" vertical="top" wrapText="1"/>
    </xf>
    <xf numFmtId="0" fontId="16" fillId="0" borderId="1" xfId="0" applyFont="1" applyBorder="1" applyAlignment="1">
      <alignment horizontal="left" vertical="center"/>
    </xf>
    <xf numFmtId="3" fontId="16" fillId="4" borderId="1" xfId="0" applyNumberFormat="1" applyFont="1" applyFill="1" applyBorder="1" applyAlignment="1">
      <alignment horizontal="right" vertical="center"/>
    </xf>
    <xf numFmtId="3" fontId="16" fillId="5" borderId="1" xfId="0" applyNumberFormat="1" applyFont="1" applyFill="1" applyBorder="1" applyAlignment="1">
      <alignment horizontal="right" vertical="center"/>
    </xf>
    <xf numFmtId="0" fontId="11" fillId="0" borderId="1" xfId="0" applyFont="1" applyBorder="1" applyAlignment="1">
      <alignment horizontal="right" vertical="center" wrapText="1"/>
    </xf>
    <xf numFmtId="3" fontId="11" fillId="4" borderId="1" xfId="0" applyNumberFormat="1" applyFont="1" applyFill="1" applyBorder="1" applyAlignment="1">
      <alignment/>
    </xf>
    <xf numFmtId="3" fontId="11" fillId="5" borderId="1" xfId="0" applyNumberFormat="1" applyFont="1" applyFill="1" applyBorder="1" applyAlignment="1">
      <alignment/>
    </xf>
    <xf numFmtId="0" fontId="12" fillId="0" borderId="7" xfId="0" applyFont="1" applyFill="1" applyBorder="1" applyAlignment="1">
      <alignment vertical="center" wrapText="1"/>
    </xf>
    <xf numFmtId="0" fontId="12" fillId="0" borderId="8" xfId="0" applyFont="1" applyFill="1" applyBorder="1" applyAlignment="1">
      <alignment vertical="center" wrapText="1"/>
    </xf>
    <xf numFmtId="0" fontId="0" fillId="0" borderId="0" xfId="0" applyAlignment="1">
      <alignment vertical="center"/>
    </xf>
    <xf numFmtId="0" fontId="0" fillId="0" borderId="8" xfId="0" applyFill="1" applyBorder="1" applyAlignment="1">
      <alignment vertical="center"/>
    </xf>
    <xf numFmtId="0" fontId="0" fillId="0" borderId="8" xfId="0" applyFill="1" applyBorder="1" applyAlignment="1">
      <alignment/>
    </xf>
    <xf numFmtId="0" fontId="0" fillId="0" borderId="6" xfId="0" applyFill="1" applyBorder="1" applyAlignment="1">
      <alignment/>
    </xf>
    <xf numFmtId="0" fontId="14" fillId="3" borderId="1" xfId="0" applyFont="1" applyFill="1" applyBorder="1" applyAlignment="1">
      <alignment horizontal="center" vertical="center" wrapText="1"/>
    </xf>
    <xf numFmtId="3" fontId="14" fillId="3" borderId="1"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3" fontId="14" fillId="0" borderId="0" xfId="0" applyNumberFormat="1" applyFont="1" applyFill="1" applyBorder="1" applyAlignment="1">
      <alignment horizontal="right" vertical="center"/>
    </xf>
    <xf numFmtId="0" fontId="13" fillId="0" borderId="0" xfId="0" applyFont="1" applyAlignment="1">
      <alignment vertical="center" wrapText="1"/>
    </xf>
    <xf numFmtId="0" fontId="0" fillId="0" borderId="0" xfId="0" applyAlignment="1" applyProtection="1">
      <alignment horizontal="center"/>
      <protection locked="0"/>
    </xf>
    <xf numFmtId="0" fontId="0" fillId="2" borderId="0" xfId="0" applyFill="1" applyBorder="1" applyAlignment="1" applyProtection="1">
      <alignment horizontal="center"/>
      <protection locked="0"/>
    </xf>
    <xf numFmtId="0" fontId="0" fillId="0" borderId="0" xfId="0" applyFill="1" applyBorder="1" applyAlignment="1">
      <alignment/>
    </xf>
    <xf numFmtId="0" fontId="0" fillId="0" borderId="0" xfId="0" applyFill="1" applyBorder="1" applyAlignment="1">
      <alignment horizontal="right" vertical="top"/>
    </xf>
    <xf numFmtId="0" fontId="0" fillId="0" borderId="0" xfId="0" applyFill="1" applyBorder="1" applyAlignment="1" applyProtection="1">
      <alignment horizontal="center"/>
      <protection locked="0"/>
    </xf>
    <xf numFmtId="0" fontId="0" fillId="0" borderId="0" xfId="0" applyFill="1" applyBorder="1" applyAlignment="1">
      <alignment horizontal="right"/>
    </xf>
    <xf numFmtId="0" fontId="19" fillId="0" borderId="0" xfId="0" applyFont="1" applyAlignment="1" applyProtection="1">
      <alignment/>
      <protection hidden="1"/>
    </xf>
    <xf numFmtId="0" fontId="19" fillId="0" borderId="0" xfId="0" applyFont="1" applyFill="1" applyBorder="1" applyAlignment="1" applyProtection="1">
      <alignment/>
      <protection hidden="1"/>
    </xf>
    <xf numFmtId="0" fontId="10" fillId="0" borderId="0" xfId="0" applyFont="1" applyFill="1" applyBorder="1" applyAlignment="1">
      <alignment/>
    </xf>
    <xf numFmtId="0" fontId="10" fillId="0" borderId="0" xfId="0" applyFont="1" applyAlignment="1">
      <alignment horizontal="center"/>
    </xf>
    <xf numFmtId="0" fontId="0" fillId="0" borderId="0" xfId="0" applyFill="1" applyAlignment="1">
      <alignment horizontal="center"/>
    </xf>
    <xf numFmtId="0" fontId="0" fillId="0" borderId="9" xfId="0" applyBorder="1" applyAlignment="1">
      <alignment/>
    </xf>
    <xf numFmtId="0" fontId="14" fillId="5" borderId="1" xfId="0" applyFont="1" applyFill="1" applyBorder="1" applyAlignment="1">
      <alignment horizontal="center"/>
    </xf>
    <xf numFmtId="0" fontId="0" fillId="0" borderId="9" xfId="0" applyFill="1" applyBorder="1" applyAlignment="1">
      <alignment/>
    </xf>
    <xf numFmtId="0" fontId="14" fillId="6" borderId="1" xfId="0" applyFont="1" applyFill="1" applyBorder="1" applyAlignment="1">
      <alignment horizontal="center"/>
    </xf>
    <xf numFmtId="0" fontId="14" fillId="0" borderId="1" xfId="0" applyFont="1" applyBorder="1" applyAlignment="1">
      <alignment/>
    </xf>
    <xf numFmtId="164" fontId="14" fillId="5" borderId="1" xfId="0" applyNumberFormat="1" applyFont="1" applyFill="1" applyBorder="1" applyAlignment="1">
      <alignment horizontal="center"/>
    </xf>
    <xf numFmtId="0" fontId="14" fillId="0" borderId="1" xfId="0" applyFont="1" applyFill="1" applyBorder="1" applyAlignment="1">
      <alignment/>
    </xf>
    <xf numFmtId="3" fontId="14" fillId="6" borderId="1" xfId="0" applyNumberFormat="1" applyFont="1" applyFill="1" applyBorder="1" applyAlignment="1">
      <alignment horizontal="center"/>
    </xf>
    <xf numFmtId="164" fontId="14" fillId="6" borderId="1" xfId="0" applyNumberFormat="1" applyFont="1" applyFill="1" applyBorder="1" applyAlignment="1">
      <alignment horizontal="center"/>
    </xf>
    <xf numFmtId="1" fontId="0" fillId="4" borderId="1" xfId="0" applyNumberFormat="1" applyFill="1" applyBorder="1" applyAlignment="1">
      <alignment horizontal="center"/>
    </xf>
    <xf numFmtId="164" fontId="0" fillId="5" borderId="1" xfId="0" applyNumberFormat="1" applyFill="1" applyBorder="1" applyAlignment="1">
      <alignment horizontal="center"/>
    </xf>
    <xf numFmtId="3" fontId="0" fillId="6" borderId="1" xfId="0" applyNumberFormat="1" applyFill="1" applyBorder="1" applyAlignment="1">
      <alignment horizontal="center"/>
    </xf>
    <xf numFmtId="164" fontId="0" fillId="6" borderId="1" xfId="0" applyNumberFormat="1" applyFill="1" applyBorder="1" applyAlignment="1">
      <alignment horizontal="center"/>
    </xf>
    <xf numFmtId="3" fontId="0" fillId="4" borderId="1" xfId="0" applyNumberFormat="1" applyFill="1" applyBorder="1" applyAlignment="1">
      <alignment horizontal="center"/>
    </xf>
    <xf numFmtId="0" fontId="0" fillId="0" borderId="0" xfId="0" applyAlignment="1">
      <alignment horizontal="center"/>
    </xf>
    <xf numFmtId="0" fontId="4" fillId="0" borderId="0" xfId="0" applyFont="1" applyBorder="1" applyAlignment="1">
      <alignment horizontal="right" vertical="center" textRotation="90"/>
    </xf>
    <xf numFmtId="1" fontId="0" fillId="0" borderId="0" xfId="0" applyNumberFormat="1" applyFill="1" applyBorder="1" applyAlignment="1">
      <alignment horizontal="center"/>
    </xf>
    <xf numFmtId="0" fontId="0" fillId="0" borderId="0" xfId="0" applyFill="1" applyBorder="1" applyAlignment="1">
      <alignment horizontal="center"/>
    </xf>
    <xf numFmtId="164" fontId="0" fillId="0" borderId="0" xfId="0" applyNumberFormat="1" applyFill="1" applyBorder="1" applyAlignment="1">
      <alignment horizontal="center"/>
    </xf>
    <xf numFmtId="0" fontId="0" fillId="0" borderId="0" xfId="0" applyFill="1" applyBorder="1" applyAlignment="1" applyProtection="1">
      <alignment vertical="center" wrapText="1"/>
      <protection/>
    </xf>
    <xf numFmtId="0" fontId="19" fillId="0" borderId="0" xfId="0" applyFont="1" applyAlignment="1">
      <alignment/>
    </xf>
    <xf numFmtId="0" fontId="5" fillId="0" borderId="1" xfId="0" applyFont="1" applyBorder="1" applyAlignment="1">
      <alignment horizontal="center" vertical="center"/>
    </xf>
    <xf numFmtId="0" fontId="0" fillId="0" borderId="1" xfId="0" applyFont="1" applyBorder="1" applyAlignment="1" applyProtection="1">
      <alignment horizontal="center" vertical="center"/>
      <protection/>
    </xf>
    <xf numFmtId="0" fontId="0" fillId="0" borderId="0" xfId="0" applyAlignment="1" applyProtection="1">
      <alignment/>
      <protection locked="0"/>
    </xf>
    <xf numFmtId="0" fontId="23" fillId="7" borderId="7" xfId="0" applyFont="1" applyFill="1" applyBorder="1" applyAlignment="1">
      <alignment wrapText="1"/>
    </xf>
    <xf numFmtId="0" fontId="0" fillId="7" borderId="7" xfId="0" applyFont="1" applyFill="1" applyBorder="1" applyAlignment="1">
      <alignment vertical="center" wrapText="1"/>
    </xf>
    <xf numFmtId="0" fontId="19"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center" vertical="center"/>
    </xf>
    <xf numFmtId="0" fontId="25" fillId="0" borderId="11" xfId="0" applyFont="1" applyFill="1" applyBorder="1" applyAlignment="1">
      <alignment horizontal="center" vertical="center" wrapText="1"/>
    </xf>
    <xf numFmtId="0" fontId="25" fillId="0" borderId="12" xfId="0" applyFont="1" applyFill="1" applyBorder="1" applyAlignment="1">
      <alignment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4" borderId="1" xfId="0" applyFont="1" applyFill="1" applyBorder="1" applyAlignment="1">
      <alignment horizontal="center" vertical="center" wrapText="1"/>
    </xf>
    <xf numFmtId="0" fontId="0" fillId="5" borderId="1" xfId="0" applyFont="1" applyFill="1" applyBorder="1" applyAlignment="1">
      <alignment vertical="center" wrapText="1"/>
    </xf>
    <xf numFmtId="0" fontId="27" fillId="0" borderId="0" xfId="0" applyFont="1" applyAlignment="1" applyProtection="1">
      <alignment horizontal="center"/>
      <protection locked="0"/>
    </xf>
    <xf numFmtId="0" fontId="27" fillId="0" borderId="0" xfId="0" applyFont="1" applyAlignment="1">
      <alignment/>
    </xf>
    <xf numFmtId="0" fontId="0" fillId="0" borderId="1" xfId="0" applyFont="1" applyBorder="1" applyAlignment="1" applyProtection="1">
      <alignment/>
      <protection/>
    </xf>
    <xf numFmtId="0" fontId="0" fillId="2" borderId="2" xfId="0" applyFill="1" applyBorder="1" applyAlignment="1" applyProtection="1">
      <alignment horizontal="center"/>
      <protection locked="0"/>
    </xf>
    <xf numFmtId="0" fontId="0" fillId="7" borderId="1" xfId="0" applyFill="1" applyBorder="1" applyAlignment="1" applyProtection="1">
      <alignment/>
      <protection locked="0"/>
    </xf>
    <xf numFmtId="0" fontId="24" fillId="7" borderId="1" xfId="0" applyFont="1" applyFill="1" applyBorder="1" applyAlignment="1" applyProtection="1">
      <alignment horizontal="center"/>
      <protection locked="0"/>
    </xf>
    <xf numFmtId="1" fontId="0" fillId="7" borderId="1" xfId="0" applyNumberFormat="1" applyFill="1" applyBorder="1" applyAlignment="1" applyProtection="1">
      <alignment horizontal="center"/>
      <protection locked="0"/>
    </xf>
    <xf numFmtId="164" fontId="19" fillId="0" borderId="10" xfId="0" applyNumberFormat="1" applyFont="1" applyBorder="1" applyAlignment="1">
      <alignment horizontal="center"/>
    </xf>
    <xf numFmtId="164" fontId="19" fillId="0" borderId="11" xfId="0" applyNumberFormat="1" applyFont="1" applyBorder="1" applyAlignment="1">
      <alignment horizontal="center"/>
    </xf>
    <xf numFmtId="3" fontId="19" fillId="0" borderId="11" xfId="0" applyNumberFormat="1" applyFont="1" applyFill="1" applyBorder="1" applyAlignment="1">
      <alignment horizontal="center"/>
    </xf>
    <xf numFmtId="164" fontId="19" fillId="0" borderId="12" xfId="0" applyNumberFormat="1" applyFont="1" applyFill="1" applyBorder="1" applyAlignment="1">
      <alignment horizontal="center"/>
    </xf>
    <xf numFmtId="0" fontId="19" fillId="0" borderId="0" xfId="0" applyNumberFormat="1" applyFont="1" applyAlignment="1" applyProtection="1">
      <alignment horizontal="center"/>
      <protection locked="0"/>
    </xf>
    <xf numFmtId="0" fontId="0" fillId="7" borderId="1" xfId="0" applyFill="1" applyBorder="1" applyAlignment="1" applyProtection="1">
      <alignment horizontal="center"/>
      <protection locked="0"/>
    </xf>
    <xf numFmtId="164" fontId="19" fillId="0" borderId="11" xfId="0" applyNumberFormat="1" applyFont="1" applyFill="1" applyBorder="1" applyAlignment="1">
      <alignment horizontal="center"/>
    </xf>
    <xf numFmtId="164" fontId="0" fillId="0" borderId="1" xfId="0" applyNumberFormat="1" applyFill="1" applyBorder="1" applyAlignment="1">
      <alignment horizontal="center"/>
    </xf>
    <xf numFmtId="0" fontId="23" fillId="7" borderId="1" xfId="0" applyFont="1" applyFill="1" applyBorder="1" applyAlignment="1" applyProtection="1">
      <alignment horizontal="center"/>
      <protection locked="0"/>
    </xf>
    <xf numFmtId="0" fontId="19" fillId="0" borderId="0" xfId="0" applyFont="1" applyAlignment="1" applyProtection="1">
      <alignment horizontal="center"/>
      <protection locked="0"/>
    </xf>
    <xf numFmtId="0" fontId="0" fillId="0" borderId="7" xfId="0" applyFont="1" applyBorder="1" applyAlignment="1" applyProtection="1">
      <alignment/>
      <protection/>
    </xf>
    <xf numFmtId="0" fontId="0" fillId="2" borderId="7" xfId="0" applyFill="1" applyBorder="1" applyAlignment="1" applyProtection="1">
      <alignment/>
      <protection locked="0"/>
    </xf>
    <xf numFmtId="0" fontId="0" fillId="7" borderId="7" xfId="0" applyFill="1" applyBorder="1" applyAlignment="1" applyProtection="1">
      <alignment/>
      <protection locked="0"/>
    </xf>
    <xf numFmtId="0" fontId="23" fillId="7" borderId="7" xfId="0" applyFont="1" applyFill="1" applyBorder="1" applyAlignment="1" applyProtection="1">
      <alignment horizontal="center"/>
      <protection locked="0"/>
    </xf>
    <xf numFmtId="0" fontId="0" fillId="7" borderId="7" xfId="0" applyFill="1" applyBorder="1" applyAlignment="1" applyProtection="1">
      <alignment horizontal="center"/>
      <protection locked="0"/>
    </xf>
    <xf numFmtId="1" fontId="0" fillId="7" borderId="7" xfId="0" applyNumberFormat="1" applyFill="1" applyBorder="1" applyAlignment="1" applyProtection="1">
      <alignment horizontal="center"/>
      <protection locked="0"/>
    </xf>
    <xf numFmtId="164" fontId="0" fillId="0" borderId="7" xfId="0" applyNumberFormat="1" applyFill="1" applyBorder="1" applyAlignment="1">
      <alignment horizontal="center"/>
    </xf>
    <xf numFmtId="0" fontId="19" fillId="0" borderId="13" xfId="0" applyNumberFormat="1" applyFont="1" applyBorder="1" applyAlignment="1" applyProtection="1">
      <alignment horizontal="center"/>
      <protection locked="0"/>
    </xf>
    <xf numFmtId="0" fontId="19" fillId="0" borderId="13" xfId="0" applyFont="1" applyBorder="1" applyAlignment="1">
      <alignment/>
    </xf>
    <xf numFmtId="0" fontId="19" fillId="0" borderId="0" xfId="0" applyNumberFormat="1" applyFont="1" applyBorder="1" applyAlignment="1" applyProtection="1">
      <alignment horizontal="center"/>
      <protection locked="0"/>
    </xf>
    <xf numFmtId="0" fontId="19" fillId="0" borderId="0" xfId="0" applyFont="1" applyBorder="1" applyAlignment="1">
      <alignment/>
    </xf>
    <xf numFmtId="0" fontId="5" fillId="0" borderId="14" xfId="0" applyFont="1" applyBorder="1" applyAlignment="1">
      <alignment/>
    </xf>
    <xf numFmtId="0" fontId="19" fillId="0" borderId="4" xfId="0" applyNumberFormat="1" applyFont="1" applyBorder="1" applyAlignment="1" applyProtection="1">
      <alignment horizontal="center"/>
      <protection locked="0"/>
    </xf>
    <xf numFmtId="0" fontId="19" fillId="0" borderId="4" xfId="0" applyFont="1" applyBorder="1" applyAlignment="1">
      <alignment/>
    </xf>
    <xf numFmtId="0" fontId="5" fillId="0" borderId="15" xfId="0" applyFont="1" applyBorder="1" applyAlignment="1">
      <alignment/>
    </xf>
    <xf numFmtId="0" fontId="28" fillId="2" borderId="1" xfId="0" applyFont="1" applyFill="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0" xfId="0" applyFont="1" applyAlignment="1">
      <alignment horizontal="left"/>
    </xf>
    <xf numFmtId="0" fontId="27" fillId="0" borderId="1" xfId="0" applyFont="1" applyBorder="1" applyAlignment="1" applyProtection="1">
      <alignment horizontal="right"/>
      <protection/>
    </xf>
    <xf numFmtId="0" fontId="0" fillId="0" borderId="1" xfId="0" applyFill="1" applyBorder="1" applyAlignment="1" applyProtection="1">
      <alignment/>
      <protection locked="0"/>
    </xf>
    <xf numFmtId="0" fontId="0" fillId="0" borderId="6" xfId="0" applyBorder="1" applyAlignment="1" applyProtection="1">
      <alignment/>
      <protection/>
    </xf>
    <xf numFmtId="0" fontId="0" fillId="2" borderId="6" xfId="0" applyFill="1" applyBorder="1" applyAlignment="1" applyProtection="1">
      <alignment/>
      <protection locked="0"/>
    </xf>
    <xf numFmtId="0" fontId="0" fillId="7" borderId="6" xfId="0" applyFill="1" applyBorder="1" applyAlignment="1" applyProtection="1">
      <alignment/>
      <protection locked="0"/>
    </xf>
    <xf numFmtId="0" fontId="23" fillId="7" borderId="6" xfId="0" applyFont="1" applyFill="1" applyBorder="1" applyAlignment="1" applyProtection="1">
      <alignment horizontal="center"/>
      <protection locked="0"/>
    </xf>
    <xf numFmtId="0" fontId="0" fillId="7" borderId="6" xfId="0" applyFill="1" applyBorder="1" applyAlignment="1" applyProtection="1">
      <alignment horizontal="center"/>
      <protection locked="0"/>
    </xf>
    <xf numFmtId="1" fontId="0" fillId="7" borderId="6" xfId="0" applyNumberFormat="1" applyFill="1" applyBorder="1" applyAlignment="1" applyProtection="1">
      <alignment horizontal="center"/>
      <protection locked="0"/>
    </xf>
    <xf numFmtId="164" fontId="0" fillId="0" borderId="6" xfId="0" applyNumberFormat="1" applyFill="1" applyBorder="1" applyAlignment="1">
      <alignment horizontal="center"/>
    </xf>
    <xf numFmtId="0" fontId="22" fillId="0" borderId="14" xfId="0" applyFont="1" applyBorder="1" applyAlignment="1">
      <alignment/>
    </xf>
    <xf numFmtId="0" fontId="19" fillId="0" borderId="12" xfId="0" applyFont="1" applyFill="1" applyBorder="1" applyAlignment="1">
      <alignment/>
    </xf>
    <xf numFmtId="0" fontId="29" fillId="7" borderId="1" xfId="0" applyFont="1" applyFill="1" applyBorder="1" applyAlignment="1" applyProtection="1">
      <alignment horizontal="center"/>
      <protection locked="0"/>
    </xf>
    <xf numFmtId="0" fontId="10" fillId="0" borderId="14" xfId="0" applyFont="1" applyBorder="1" applyAlignment="1">
      <alignment/>
    </xf>
    <xf numFmtId="0" fontId="0" fillId="0" borderId="1" xfId="0" applyBorder="1" applyAlignment="1" applyProtection="1">
      <alignment/>
      <protection locked="0"/>
    </xf>
    <xf numFmtId="0" fontId="0" fillId="0" borderId="1" xfId="0" applyFont="1" applyBorder="1" applyAlignment="1" applyProtection="1">
      <alignment horizontal="right"/>
      <protection/>
    </xf>
    <xf numFmtId="0" fontId="31" fillId="2" borderId="1" xfId="0" applyFont="1" applyFill="1" applyBorder="1" applyAlignment="1" applyProtection="1">
      <alignment/>
      <protection locked="0"/>
    </xf>
    <xf numFmtId="164" fontId="19" fillId="0" borderId="16" xfId="0" applyNumberFormat="1" applyFont="1" applyBorder="1" applyAlignment="1">
      <alignment horizontal="center"/>
    </xf>
    <xf numFmtId="164" fontId="19" fillId="0" borderId="17" xfId="0" applyNumberFormat="1" applyFont="1" applyBorder="1" applyAlignment="1">
      <alignment horizontal="center"/>
    </xf>
    <xf numFmtId="164" fontId="19" fillId="0" borderId="17" xfId="0" applyNumberFormat="1" applyFont="1" applyFill="1" applyBorder="1" applyAlignment="1">
      <alignment horizontal="center"/>
    </xf>
    <xf numFmtId="164" fontId="19" fillId="0" borderId="18" xfId="0" applyNumberFormat="1" applyFont="1" applyFill="1" applyBorder="1" applyAlignment="1">
      <alignment horizontal="center"/>
    </xf>
    <xf numFmtId="0" fontId="0" fillId="0" borderId="0" xfId="0" applyAlignment="1" applyProtection="1">
      <alignment/>
      <protection/>
    </xf>
    <xf numFmtId="1" fontId="0" fillId="0" borderId="0" xfId="0" applyNumberFormat="1" applyAlignment="1">
      <alignment/>
    </xf>
    <xf numFmtId="164" fontId="0" fillId="0" borderId="0" xfId="0" applyNumberFormat="1" applyAlignment="1">
      <alignment/>
    </xf>
    <xf numFmtId="164" fontId="0" fillId="0" borderId="0" xfId="0" applyNumberFormat="1" applyFill="1" applyAlignment="1">
      <alignment/>
    </xf>
    <xf numFmtId="0" fontId="0" fillId="3" borderId="0" xfId="0" applyFill="1" applyAlignment="1">
      <alignment/>
    </xf>
    <xf numFmtId="0" fontId="0" fillId="2" borderId="1" xfId="0" applyFont="1" applyFill="1" applyBorder="1" applyAlignment="1" applyProtection="1">
      <alignment horizontal="right"/>
      <protection locked="0"/>
    </xf>
    <xf numFmtId="0" fontId="5" fillId="0" borderId="1" xfId="0" applyFont="1" applyBorder="1" applyAlignment="1">
      <alignment/>
    </xf>
    <xf numFmtId="0" fontId="0" fillId="3" borderId="0" xfId="0" applyFont="1" applyFill="1" applyBorder="1" applyAlignment="1">
      <alignment/>
    </xf>
    <xf numFmtId="0" fontId="35" fillId="0" borderId="0" xfId="0" applyFont="1" applyFill="1" applyAlignment="1">
      <alignment/>
    </xf>
    <xf numFmtId="0" fontId="0" fillId="2" borderId="1" xfId="0" applyFill="1" applyBorder="1" applyAlignment="1" applyProtection="1">
      <alignment horizontal="right"/>
      <protection locked="0"/>
    </xf>
    <xf numFmtId="0" fontId="0" fillId="0" borderId="6" xfId="0" applyFont="1" applyBorder="1" applyAlignment="1">
      <alignment/>
    </xf>
    <xf numFmtId="17" fontId="0" fillId="3" borderId="0" xfId="0" applyNumberFormat="1" applyFill="1" applyAlignment="1">
      <alignment/>
    </xf>
    <xf numFmtId="3" fontId="0" fillId="2" borderId="1" xfId="0" applyNumberFormat="1" applyFill="1" applyBorder="1" applyAlignment="1" applyProtection="1">
      <alignment horizontal="right"/>
      <protection locked="0"/>
    </xf>
    <xf numFmtId="0" fontId="35" fillId="0" borderId="1" xfId="0" applyFont="1" applyFill="1" applyBorder="1" applyAlignment="1">
      <alignment/>
    </xf>
    <xf numFmtId="0" fontId="35" fillId="8" borderId="1" xfId="0" applyFont="1" applyFill="1" applyBorder="1" applyAlignment="1">
      <alignment/>
    </xf>
    <xf numFmtId="0" fontId="0" fillId="8" borderId="1" xfId="0" applyFill="1" applyBorder="1" applyAlignment="1">
      <alignment/>
    </xf>
    <xf numFmtId="0" fontId="0" fillId="8" borderId="0" xfId="0" applyFont="1" applyFill="1" applyAlignment="1">
      <alignment/>
    </xf>
    <xf numFmtId="0" fontId="0" fillId="0" borderId="0" xfId="0" applyFont="1" applyBorder="1" applyAlignment="1">
      <alignment/>
    </xf>
    <xf numFmtId="2" fontId="0" fillId="0" borderId="1" xfId="0" applyNumberFormat="1" applyBorder="1" applyAlignment="1">
      <alignment/>
    </xf>
    <xf numFmtId="0" fontId="0" fillId="0" borderId="19" xfId="0" applyBorder="1" applyAlignment="1">
      <alignment/>
    </xf>
    <xf numFmtId="0" fontId="0" fillId="0" borderId="20" xfId="0" applyBorder="1" applyAlignment="1">
      <alignment/>
    </xf>
    <xf numFmtId="0" fontId="0" fillId="3" borderId="19" xfId="0" applyFill="1" applyBorder="1" applyAlignment="1">
      <alignment horizontal="center"/>
    </xf>
    <xf numFmtId="0" fontId="0" fillId="3" borderId="0" xfId="0" applyFill="1" applyBorder="1" applyAlignment="1">
      <alignment horizontal="center"/>
    </xf>
    <xf numFmtId="0" fontId="0" fillId="3" borderId="20" xfId="0" applyFill="1" applyBorder="1" applyAlignment="1">
      <alignment horizontal="center"/>
    </xf>
    <xf numFmtId="0" fontId="4" fillId="9" borderId="19" xfId="0" applyFont="1" applyFill="1" applyBorder="1" applyAlignment="1">
      <alignment/>
    </xf>
    <xf numFmtId="0" fontId="4" fillId="9" borderId="0" xfId="0" applyFont="1" applyFill="1" applyBorder="1" applyAlignment="1">
      <alignment/>
    </xf>
    <xf numFmtId="0" fontId="37" fillId="9" borderId="0" xfId="0" applyFont="1" applyFill="1" applyBorder="1" applyAlignment="1">
      <alignment/>
    </xf>
    <xf numFmtId="0" fontId="37" fillId="9" borderId="20" xfId="0" applyFont="1" applyFill="1" applyBorder="1" applyAlignment="1">
      <alignment/>
    </xf>
    <xf numFmtId="0" fontId="0" fillId="3" borderId="21" xfId="0" applyFill="1" applyBorder="1" applyAlignment="1">
      <alignment horizontal="center"/>
    </xf>
    <xf numFmtId="0" fontId="0" fillId="3" borderId="4" xfId="0" applyFill="1" applyBorder="1" applyAlignment="1">
      <alignment horizontal="center"/>
    </xf>
    <xf numFmtId="0" fontId="0" fillId="3" borderId="22" xfId="0" applyFill="1" applyBorder="1" applyAlignment="1">
      <alignment horizontal="center"/>
    </xf>
    <xf numFmtId="0" fontId="37" fillId="0" borderId="0" xfId="0" applyFont="1" applyAlignment="1">
      <alignment vertical="center"/>
    </xf>
    <xf numFmtId="0" fontId="37" fillId="0" borderId="20" xfId="0" applyFont="1" applyBorder="1" applyAlignment="1">
      <alignmen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38" fillId="0" borderId="25" xfId="0" applyFont="1" applyBorder="1" applyAlignment="1">
      <alignment horizontal="center" vertical="center"/>
    </xf>
    <xf numFmtId="0" fontId="39" fillId="0" borderId="1" xfId="0" applyFont="1" applyBorder="1" applyAlignment="1">
      <alignment horizontal="center" vertical="center"/>
    </xf>
    <xf numFmtId="0" fontId="39" fillId="0" borderId="26" xfId="0" applyFont="1" applyFill="1" applyBorder="1" applyAlignment="1">
      <alignment horizontal="center" vertical="center"/>
    </xf>
    <xf numFmtId="0" fontId="4" fillId="0" borderId="0" xfId="0" applyFont="1" applyBorder="1" applyAlignment="1">
      <alignment horizontal="center" vertical="center"/>
    </xf>
    <xf numFmtId="0" fontId="39" fillId="3" borderId="27"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26" xfId="0" applyFont="1" applyFill="1" applyBorder="1" applyAlignment="1">
      <alignment horizontal="center" vertical="center"/>
    </xf>
    <xf numFmtId="0" fontId="0" fillId="0" borderId="26" xfId="0" applyFont="1" applyBorder="1" applyAlignment="1">
      <alignment vertical="center" wrapText="1"/>
    </xf>
    <xf numFmtId="0" fontId="27" fillId="0" borderId="25" xfId="0" applyFont="1" applyFill="1" applyBorder="1" applyAlignment="1">
      <alignment vertical="center" wrapText="1"/>
    </xf>
    <xf numFmtId="0" fontId="0" fillId="0" borderId="28" xfId="0" applyBorder="1" applyAlignment="1">
      <alignment/>
    </xf>
    <xf numFmtId="0" fontId="0" fillId="0" borderId="15" xfId="0" applyBorder="1" applyAlignment="1">
      <alignment/>
    </xf>
    <xf numFmtId="3" fontId="40" fillId="0" borderId="1" xfId="0" applyNumberFormat="1" applyFont="1" applyBorder="1" applyAlignment="1">
      <alignment horizontal="right" vertical="center" wrapText="1"/>
    </xf>
    <xf numFmtId="165" fontId="40" fillId="0" borderId="29" xfId="0" applyNumberFormat="1" applyFont="1" applyBorder="1" applyAlignment="1">
      <alignment horizontal="right" vertical="center" wrapText="1"/>
    </xf>
    <xf numFmtId="164" fontId="40" fillId="0" borderId="26" xfId="0" applyNumberFormat="1" applyFont="1" applyFill="1" applyBorder="1" applyAlignment="1">
      <alignment horizontal="right" vertical="center" wrapText="1"/>
    </xf>
    <xf numFmtId="0" fontId="12" fillId="0" borderId="0" xfId="0" applyFont="1" applyBorder="1" applyAlignment="1">
      <alignment vertical="center" wrapText="1"/>
    </xf>
    <xf numFmtId="3" fontId="40" fillId="3" borderId="27" xfId="0" applyNumberFormat="1" applyFont="1" applyFill="1" applyBorder="1" applyAlignment="1">
      <alignment horizontal="right" vertical="center" wrapText="1"/>
    </xf>
    <xf numFmtId="165" fontId="40" fillId="3" borderId="29" xfId="0" applyNumberFormat="1" applyFont="1" applyFill="1" applyBorder="1" applyAlignment="1">
      <alignment horizontal="right" vertical="center" wrapText="1"/>
    </xf>
    <xf numFmtId="167" fontId="40" fillId="3" borderId="26" xfId="18" applyNumberFormat="1" applyFont="1" applyFill="1" applyBorder="1" applyAlignment="1" applyProtection="1">
      <alignment horizontal="right" vertical="center" wrapText="1"/>
      <protection/>
    </xf>
    <xf numFmtId="0" fontId="27" fillId="0" borderId="25" xfId="0" applyFont="1" applyBorder="1" applyAlignment="1">
      <alignment vertical="center" wrapText="1"/>
    </xf>
    <xf numFmtId="0" fontId="0" fillId="0" borderId="30" xfId="0" applyBorder="1" applyAlignment="1">
      <alignment/>
    </xf>
    <xf numFmtId="0" fontId="0" fillId="0" borderId="27" xfId="0" applyFont="1" applyFill="1" applyBorder="1" applyAlignment="1">
      <alignment vertical="top" wrapText="1"/>
    </xf>
    <xf numFmtId="0" fontId="0" fillId="3" borderId="1" xfId="0" applyFill="1" applyBorder="1" applyAlignment="1">
      <alignment wrapText="1"/>
    </xf>
    <xf numFmtId="3" fontId="40" fillId="0" borderId="29" xfId="0" applyNumberFormat="1" applyFont="1" applyBorder="1" applyAlignment="1">
      <alignment horizontal="right"/>
    </xf>
    <xf numFmtId="0" fontId="0" fillId="3" borderId="1" xfId="0" applyFill="1" applyBorder="1" applyAlignment="1">
      <alignment vertical="top" wrapText="1"/>
    </xf>
    <xf numFmtId="3" fontId="40" fillId="0" borderId="1" xfId="0" applyNumberFormat="1" applyFont="1" applyFill="1" applyBorder="1" applyAlignment="1">
      <alignment horizontal="right" vertical="center" wrapText="1"/>
    </xf>
    <xf numFmtId="165" fontId="40" fillId="0" borderId="1" xfId="0" applyNumberFormat="1" applyFont="1" applyBorder="1" applyAlignment="1">
      <alignment horizontal="right" vertical="center" wrapText="1"/>
    </xf>
    <xf numFmtId="165" fontId="40" fillId="3" borderId="27" xfId="0" applyNumberFormat="1" applyFont="1" applyFill="1" applyBorder="1" applyAlignment="1">
      <alignment horizontal="right" vertical="center" wrapText="1"/>
    </xf>
    <xf numFmtId="167" fontId="40" fillId="3" borderId="27" xfId="18" applyNumberFormat="1" applyFont="1" applyFill="1" applyBorder="1" applyAlignment="1" applyProtection="1">
      <alignment horizontal="right" vertical="center" wrapText="1"/>
      <protection/>
    </xf>
    <xf numFmtId="0" fontId="35" fillId="0" borderId="26" xfId="0" applyFont="1" applyBorder="1" applyAlignment="1">
      <alignment vertical="center" wrapText="1"/>
    </xf>
    <xf numFmtId="0" fontId="35" fillId="0" borderId="27" xfId="0" applyFont="1" applyBorder="1" applyAlignment="1">
      <alignment wrapText="1"/>
    </xf>
    <xf numFmtId="0" fontId="41" fillId="2" borderId="1" xfId="0" applyFont="1" applyFill="1" applyBorder="1" applyAlignment="1" applyProtection="1">
      <alignment/>
      <protection locked="0"/>
    </xf>
    <xf numFmtId="0" fontId="12" fillId="10" borderId="1" xfId="0" applyFont="1" applyFill="1" applyBorder="1" applyAlignment="1">
      <alignment vertical="center" wrapText="1"/>
    </xf>
    <xf numFmtId="0" fontId="27" fillId="10" borderId="25" xfId="0" applyFont="1" applyFill="1" applyBorder="1" applyAlignment="1">
      <alignment vertical="center" wrapText="1"/>
    </xf>
    <xf numFmtId="3" fontId="40" fillId="10" borderId="1" xfId="0" applyNumberFormat="1" applyFont="1" applyFill="1" applyBorder="1" applyAlignment="1">
      <alignment horizontal="right" vertical="center" wrapText="1"/>
    </xf>
    <xf numFmtId="165" fontId="40" fillId="10" borderId="29" xfId="0" applyNumberFormat="1" applyFont="1" applyFill="1" applyBorder="1" applyAlignment="1">
      <alignment horizontal="right" vertical="center" wrapText="1"/>
    </xf>
    <xf numFmtId="164" fontId="40" fillId="10" borderId="26" xfId="0" applyNumberFormat="1" applyFont="1" applyFill="1" applyBorder="1" applyAlignment="1">
      <alignment horizontal="right" vertical="center" wrapText="1"/>
    </xf>
    <xf numFmtId="0" fontId="0" fillId="0" borderId="27" xfId="0" applyFont="1" applyBorder="1" applyAlignment="1">
      <alignment wrapText="1"/>
    </xf>
    <xf numFmtId="0" fontId="0" fillId="0" borderId="2" xfId="0" applyBorder="1" applyAlignment="1">
      <alignment/>
    </xf>
    <xf numFmtId="0" fontId="0" fillId="0" borderId="14" xfId="0" applyBorder="1" applyAlignment="1">
      <alignment/>
    </xf>
    <xf numFmtId="3" fontId="40" fillId="0" borderId="1" xfId="0" applyNumberFormat="1" applyFont="1" applyBorder="1" applyAlignment="1">
      <alignment vertical="center" wrapText="1"/>
    </xf>
    <xf numFmtId="165" fontId="40" fillId="0" borderId="29" xfId="0" applyNumberFormat="1" applyFont="1" applyBorder="1" applyAlignment="1">
      <alignment vertical="center" wrapText="1"/>
    </xf>
    <xf numFmtId="164" fontId="40" fillId="0" borderId="26" xfId="0" applyNumberFormat="1" applyFont="1" applyFill="1" applyBorder="1" applyAlignment="1">
      <alignment vertical="center" wrapText="1"/>
    </xf>
    <xf numFmtId="0" fontId="0" fillId="0" borderId="27" xfId="0" applyFont="1" applyBorder="1" applyAlignment="1">
      <alignment vertical="top" wrapText="1"/>
    </xf>
    <xf numFmtId="0" fontId="0" fillId="0" borderId="1" xfId="0" applyFont="1" applyBorder="1" applyAlignment="1">
      <alignment vertical="top" wrapText="1"/>
    </xf>
    <xf numFmtId="165" fontId="40" fillId="0" borderId="1" xfId="0" applyNumberFormat="1" applyFont="1" applyBorder="1" applyAlignment="1">
      <alignment vertical="center" wrapText="1"/>
    </xf>
    <xf numFmtId="0" fontId="0" fillId="0" borderId="2" xfId="0" applyFill="1" applyBorder="1" applyAlignment="1">
      <alignment wrapText="1"/>
    </xf>
    <xf numFmtId="0" fontId="0" fillId="0" borderId="14" xfId="0" applyFill="1" applyBorder="1" applyAlignment="1">
      <alignment/>
    </xf>
    <xf numFmtId="0" fontId="0" fillId="11" borderId="26" xfId="0" applyFont="1" applyFill="1" applyBorder="1" applyAlignment="1">
      <alignment vertical="center" wrapText="1"/>
    </xf>
    <xf numFmtId="0" fontId="27" fillId="11" borderId="25" xfId="0" applyFont="1" applyFill="1" applyBorder="1" applyAlignment="1">
      <alignment vertical="center" wrapText="1"/>
    </xf>
    <xf numFmtId="0" fontId="12" fillId="0" borderId="0" xfId="0" applyFont="1" applyFill="1" applyBorder="1" applyAlignment="1">
      <alignment vertical="center" wrapText="1"/>
    </xf>
    <xf numFmtId="0" fontId="4" fillId="0" borderId="31" xfId="0" applyFont="1" applyFill="1" applyBorder="1" applyAlignment="1">
      <alignment vertical="center" wrapText="1"/>
    </xf>
    <xf numFmtId="0" fontId="40" fillId="0" borderId="29" xfId="0" applyFont="1" applyBorder="1" applyAlignment="1">
      <alignment/>
    </xf>
    <xf numFmtId="0" fontId="40" fillId="3" borderId="32" xfId="0" applyFont="1" applyFill="1" applyBorder="1" applyAlignment="1">
      <alignment horizontal="right" vertical="center" wrapText="1"/>
    </xf>
    <xf numFmtId="0" fontId="40" fillId="3" borderId="29" xfId="0" applyFont="1" applyFill="1" applyBorder="1" applyAlignment="1">
      <alignment horizontal="right" vertical="center" wrapText="1"/>
    </xf>
    <xf numFmtId="167" fontId="40" fillId="3" borderId="33" xfId="18" applyNumberFormat="1" applyFont="1" applyFill="1" applyBorder="1" applyAlignment="1" applyProtection="1">
      <alignment horizontal="right" vertical="center" wrapText="1"/>
      <protection/>
    </xf>
    <xf numFmtId="0" fontId="0" fillId="0" borderId="1" xfId="0" applyFont="1" applyBorder="1" applyAlignment="1">
      <alignment horizontal="left" vertical="top" wrapText="1"/>
    </xf>
    <xf numFmtId="0" fontId="40" fillId="0" borderId="34" xfId="0" applyFont="1" applyBorder="1" applyAlignment="1">
      <alignment/>
    </xf>
    <xf numFmtId="164" fontId="40" fillId="0" borderId="1" xfId="0" applyNumberFormat="1" applyFont="1" applyFill="1" applyBorder="1" applyAlignment="1">
      <alignment vertical="center" wrapText="1"/>
    </xf>
    <xf numFmtId="167" fontId="40" fillId="3" borderId="33" xfId="18" applyNumberFormat="1" applyFont="1" applyFill="1" applyBorder="1" applyAlignment="1" applyProtection="1">
      <alignment vertical="center" wrapText="1"/>
      <protection/>
    </xf>
    <xf numFmtId="0" fontId="0" fillId="0" borderId="35" xfId="0" applyFont="1" applyBorder="1" applyAlignment="1">
      <alignment vertical="center" wrapText="1"/>
    </xf>
    <xf numFmtId="0" fontId="0" fillId="0" borderId="36" xfId="0" applyFont="1" applyBorder="1" applyAlignment="1">
      <alignment horizontal="left" vertical="top" wrapText="1"/>
    </xf>
    <xf numFmtId="0" fontId="0" fillId="2" borderId="37" xfId="0" applyFill="1" applyBorder="1" applyAlignment="1" applyProtection="1">
      <alignment/>
      <protection locked="0"/>
    </xf>
    <xf numFmtId="0" fontId="40" fillId="0" borderId="38" xfId="0" applyFont="1" applyBorder="1" applyAlignment="1">
      <alignment/>
    </xf>
    <xf numFmtId="164" fontId="40" fillId="0" borderId="35" xfId="0" applyNumberFormat="1" applyFont="1" applyFill="1" applyBorder="1" applyAlignment="1">
      <alignment horizontal="right" vertical="center" wrapText="1"/>
    </xf>
    <xf numFmtId="0" fontId="40" fillId="3" borderId="39" xfId="0" applyFont="1" applyFill="1" applyBorder="1" applyAlignment="1">
      <alignment horizontal="right" vertical="center" wrapText="1"/>
    </xf>
    <xf numFmtId="0" fontId="40" fillId="3" borderId="38" xfId="0" applyFont="1" applyFill="1" applyBorder="1" applyAlignment="1">
      <alignment horizontal="right" vertical="center" wrapText="1"/>
    </xf>
    <xf numFmtId="167" fontId="40" fillId="3" borderId="40" xfId="18" applyNumberFormat="1" applyFont="1" applyFill="1" applyBorder="1" applyAlignment="1" applyProtection="1">
      <alignment horizontal="right" vertical="center" wrapText="1"/>
      <protection/>
    </xf>
    <xf numFmtId="0" fontId="42" fillId="0" borderId="0" xfId="0" applyFont="1" applyAlignment="1">
      <alignment vertical="center" wrapText="1"/>
    </xf>
    <xf numFmtId="0" fontId="16" fillId="0" borderId="0" xfId="0" applyFont="1" applyAlignment="1">
      <alignment vertical="center"/>
    </xf>
    <xf numFmtId="164" fontId="12" fillId="0" borderId="0" xfId="0" applyNumberFormat="1" applyFont="1" applyFill="1" applyAlignment="1">
      <alignment vertical="center" wrapText="1"/>
    </xf>
    <xf numFmtId="0" fontId="27" fillId="0" borderId="0" xfId="0" applyFont="1" applyAlignment="1">
      <alignment vertical="center"/>
    </xf>
    <xf numFmtId="0" fontId="0" fillId="0" borderId="0" xfId="0" applyBorder="1" applyAlignment="1">
      <alignment vertical="center"/>
    </xf>
    <xf numFmtId="164" fontId="0" fillId="0" borderId="0" xfId="0" applyNumberFormat="1" applyFill="1" applyAlignment="1">
      <alignment vertical="center"/>
    </xf>
    <xf numFmtId="0" fontId="40" fillId="0" borderId="7" xfId="0" applyFont="1" applyBorder="1" applyAlignment="1">
      <alignment horizontal="center" vertical="center" textRotation="90"/>
    </xf>
    <xf numFmtId="0" fontId="40" fillId="0" borderId="41" xfId="0" applyFont="1" applyBorder="1" applyAlignment="1">
      <alignment/>
    </xf>
    <xf numFmtId="0" fontId="40" fillId="0" borderId="13" xfId="0" applyFont="1" applyBorder="1" applyAlignment="1">
      <alignment/>
    </xf>
    <xf numFmtId="0" fontId="40" fillId="0" borderId="15" xfId="0" applyFont="1" applyBorder="1" applyAlignment="1">
      <alignment/>
    </xf>
    <xf numFmtId="0" fontId="40" fillId="0" borderId="0" xfId="0" applyFont="1" applyBorder="1" applyAlignment="1">
      <alignment/>
    </xf>
    <xf numFmtId="0" fontId="40" fillId="0" borderId="30" xfId="0" applyFont="1" applyBorder="1" applyAlignment="1">
      <alignment/>
    </xf>
    <xf numFmtId="0" fontId="40" fillId="0" borderId="42" xfId="0" applyFont="1" applyBorder="1" applyAlignment="1">
      <alignment/>
    </xf>
    <xf numFmtId="0" fontId="40" fillId="0" borderId="0" xfId="0" applyFont="1" applyBorder="1" applyAlignment="1">
      <alignment/>
    </xf>
    <xf numFmtId="0" fontId="40" fillId="0" borderId="30" xfId="0" applyFont="1" applyBorder="1" applyAlignment="1">
      <alignment/>
    </xf>
    <xf numFmtId="0" fontId="0" fillId="0" borderId="0" xfId="0" applyAlignment="1">
      <alignment/>
    </xf>
    <xf numFmtId="0" fontId="43" fillId="0" borderId="0" xfId="0" applyFont="1" applyBorder="1" applyAlignment="1">
      <alignment/>
    </xf>
    <xf numFmtId="0" fontId="0" fillId="0" borderId="0" xfId="0" applyBorder="1" applyAlignment="1">
      <alignment/>
    </xf>
    <xf numFmtId="0" fontId="40" fillId="0" borderId="3" xfId="0" applyFont="1" applyBorder="1" applyAlignment="1">
      <alignment/>
    </xf>
    <xf numFmtId="0" fontId="40" fillId="0" borderId="8" xfId="0" applyFont="1" applyBorder="1" applyAlignment="1">
      <alignment horizontal="center" vertical="center" textRotation="90"/>
    </xf>
    <xf numFmtId="0" fontId="40" fillId="0" borderId="13" xfId="0" applyFont="1" applyBorder="1" applyAlignment="1">
      <alignment/>
    </xf>
    <xf numFmtId="0" fontId="40" fillId="0" borderId="6" xfId="0" applyFont="1" applyBorder="1" applyAlignment="1">
      <alignment horizontal="center" vertical="center" textRotation="90"/>
    </xf>
    <xf numFmtId="0" fontId="40" fillId="0" borderId="43" xfId="0" applyFont="1" applyBorder="1" applyAlignment="1">
      <alignment/>
    </xf>
    <xf numFmtId="0" fontId="40" fillId="0" borderId="4" xfId="0" applyFont="1" applyBorder="1" applyAlignment="1">
      <alignment/>
    </xf>
    <xf numFmtId="0" fontId="40" fillId="0" borderId="9" xfId="0" applyFont="1" applyBorder="1" applyAlignment="1">
      <alignment/>
    </xf>
    <xf numFmtId="0" fontId="40" fillId="0" borderId="8" xfId="0" applyFont="1" applyBorder="1" applyAlignment="1">
      <alignment/>
    </xf>
    <xf numFmtId="0" fontId="40" fillId="0" borderId="44" xfId="0" applyFont="1" applyBorder="1" applyAlignment="1">
      <alignment/>
    </xf>
    <xf numFmtId="0" fontId="43" fillId="0" borderId="0" xfId="0" applyFont="1" applyBorder="1" applyAlignment="1">
      <alignment/>
    </xf>
    <xf numFmtId="0" fontId="40" fillId="0" borderId="3" xfId="0" applyFont="1" applyBorder="1" applyAlignment="1">
      <alignment vertical="top"/>
    </xf>
    <xf numFmtId="0" fontId="40" fillId="0" borderId="0" xfId="0" applyFont="1" applyBorder="1" applyAlignment="1">
      <alignment vertical="top" wrapText="1"/>
    </xf>
    <xf numFmtId="0" fontId="40" fillId="0" borderId="0" xfId="0" applyFont="1" applyBorder="1" applyAlignment="1">
      <alignment horizontal="left"/>
    </xf>
    <xf numFmtId="0" fontId="40" fillId="0" borderId="4" xfId="0" applyFont="1" applyBorder="1" applyAlignment="1">
      <alignment horizontal="left"/>
    </xf>
    <xf numFmtId="0" fontId="44" fillId="0" borderId="0" xfId="0" applyFont="1" applyBorder="1" applyAlignment="1">
      <alignment/>
    </xf>
    <xf numFmtId="0" fontId="40" fillId="0" borderId="45" xfId="0" applyFont="1" applyBorder="1" applyAlignment="1">
      <alignment/>
    </xf>
    <xf numFmtId="0" fontId="40" fillId="0" borderId="46" xfId="0" applyFont="1" applyBorder="1" applyAlignment="1">
      <alignment/>
    </xf>
    <xf numFmtId="0" fontId="40" fillId="0" borderId="47" xfId="0" applyFont="1" applyBorder="1" applyAlignment="1">
      <alignment/>
    </xf>
    <xf numFmtId="0" fontId="40" fillId="0" borderId="48" xfId="0" applyFont="1" applyBorder="1" applyAlignment="1">
      <alignment/>
    </xf>
    <xf numFmtId="0" fontId="11" fillId="0" borderId="0" xfId="0" applyFont="1" applyBorder="1" applyAlignment="1">
      <alignment/>
    </xf>
    <xf numFmtId="0" fontId="44" fillId="0" borderId="49" xfId="0" applyFont="1" applyBorder="1" applyAlignment="1">
      <alignment/>
    </xf>
    <xf numFmtId="0" fontId="40" fillId="0" borderId="49" xfId="0" applyFont="1" applyBorder="1" applyAlignment="1">
      <alignment/>
    </xf>
    <xf numFmtId="0" fontId="40" fillId="0" borderId="6" xfId="0" applyFont="1" applyBorder="1" applyAlignment="1">
      <alignment/>
    </xf>
    <xf numFmtId="0" fontId="43" fillId="0" borderId="0" xfId="0" applyFont="1" applyBorder="1" applyAlignment="1">
      <alignment horizontal="right"/>
    </xf>
    <xf numFmtId="0" fontId="44" fillId="0" borderId="0" xfId="0" applyFont="1" applyBorder="1" applyAlignment="1">
      <alignment horizontal="right"/>
    </xf>
    <xf numFmtId="0" fontId="45" fillId="0" borderId="0" xfId="0" applyFont="1" applyBorder="1" applyAlignment="1">
      <alignment/>
    </xf>
    <xf numFmtId="0" fontId="46" fillId="0" borderId="0" xfId="0" applyFont="1" applyBorder="1" applyAlignment="1">
      <alignment horizontal="right"/>
    </xf>
    <xf numFmtId="0" fontId="47" fillId="0" borderId="0" xfId="0" applyFont="1" applyBorder="1" applyAlignment="1">
      <alignment/>
    </xf>
    <xf numFmtId="0" fontId="40" fillId="0" borderId="47" xfId="0" applyFont="1" applyBorder="1" applyAlignment="1">
      <alignment horizontal="center"/>
    </xf>
    <xf numFmtId="0" fontId="40" fillId="0" borderId="48" xfId="0" applyFont="1" applyBorder="1" applyAlignment="1">
      <alignment horizontal="center"/>
    </xf>
    <xf numFmtId="0" fontId="43" fillId="0" borderId="44" xfId="0" applyFont="1" applyBorder="1" applyAlignment="1">
      <alignment horizontal="right"/>
    </xf>
    <xf numFmtId="0" fontId="43" fillId="0" borderId="50" xfId="0" applyFont="1" applyBorder="1" applyAlignment="1">
      <alignment horizontal="right"/>
    </xf>
    <xf numFmtId="0" fontId="40" fillId="0" borderId="6" xfId="0" applyFont="1" applyBorder="1" applyAlignment="1">
      <alignment vertical="center"/>
    </xf>
    <xf numFmtId="0" fontId="43" fillId="0" borderId="4" xfId="0" applyFont="1" applyBorder="1" applyAlignment="1">
      <alignment horizontal="right"/>
    </xf>
    <xf numFmtId="0" fontId="40" fillId="0" borderId="28" xfId="0" applyFont="1" applyBorder="1" applyAlignment="1">
      <alignment/>
    </xf>
    <xf numFmtId="0" fontId="43" fillId="0" borderId="13" xfId="0" applyFont="1" applyBorder="1" applyAlignment="1">
      <alignment horizontal="right"/>
    </xf>
    <xf numFmtId="0" fontId="48" fillId="0" borderId="0" xfId="0" applyFont="1" applyBorder="1" applyAlignment="1">
      <alignment/>
    </xf>
    <xf numFmtId="0" fontId="44" fillId="0" borderId="0" xfId="0" applyFont="1" applyBorder="1" applyAlignment="1">
      <alignment/>
    </xf>
    <xf numFmtId="0" fontId="40" fillId="0" borderId="0" xfId="0" applyFont="1" applyBorder="1" applyAlignment="1">
      <alignment horizontal="right"/>
    </xf>
    <xf numFmtId="0" fontId="0" fillId="0" borderId="44" xfId="0" applyFont="1" applyBorder="1" applyAlignment="1">
      <alignment/>
    </xf>
    <xf numFmtId="0" fontId="40" fillId="0" borderId="5" xfId="0" applyFont="1" applyBorder="1" applyAlignment="1">
      <alignment/>
    </xf>
    <xf numFmtId="0" fontId="40" fillId="0" borderId="13" xfId="0" applyFont="1" applyBorder="1" applyAlignment="1">
      <alignment horizontal="center" vertical="center" textRotation="90"/>
    </xf>
    <xf numFmtId="0" fontId="40" fillId="0" borderId="4" xfId="0" applyFont="1" applyBorder="1" applyAlignment="1">
      <alignment horizontal="center" vertical="center" textRotation="90"/>
    </xf>
    <xf numFmtId="0" fontId="40" fillId="0" borderId="7" xfId="0" applyFont="1" applyBorder="1" applyAlignment="1">
      <alignment/>
    </xf>
    <xf numFmtId="0" fontId="46" fillId="0" borderId="0" xfId="0" applyFont="1" applyBorder="1" applyAlignment="1">
      <alignment/>
    </xf>
    <xf numFmtId="0" fontId="40" fillId="0" borderId="0" xfId="0" applyFont="1" applyBorder="1" applyAlignment="1">
      <alignment horizontal="left" vertical="top"/>
    </xf>
    <xf numFmtId="0" fontId="40" fillId="0" borderId="0" xfId="0" applyFont="1" applyBorder="1" applyAlignment="1">
      <alignment horizontal="right" vertical="top"/>
    </xf>
    <xf numFmtId="0" fontId="50" fillId="0" borderId="0" xfId="0" applyFont="1" applyBorder="1" applyAlignment="1">
      <alignment/>
    </xf>
    <xf numFmtId="0" fontId="44" fillId="0" borderId="0" xfId="0" applyFont="1" applyBorder="1" applyAlignment="1">
      <alignment horizontal="left"/>
    </xf>
    <xf numFmtId="0" fontId="48" fillId="0" borderId="4" xfId="0" applyFont="1" applyBorder="1" applyAlignment="1">
      <alignment/>
    </xf>
    <xf numFmtId="0" fontId="26" fillId="0" borderId="0" xfId="0" applyFont="1" applyBorder="1" applyAlignment="1">
      <alignment/>
    </xf>
    <xf numFmtId="0" fontId="40" fillId="0" borderId="13" xfId="0" applyFont="1" applyBorder="1" applyAlignment="1">
      <alignment horizontal="left"/>
    </xf>
    <xf numFmtId="0" fontId="48" fillId="0" borderId="13" xfId="0" applyFont="1" applyBorder="1" applyAlignment="1">
      <alignment/>
    </xf>
    <xf numFmtId="0" fontId="40" fillId="0" borderId="0" xfId="0" applyFont="1" applyFill="1" applyBorder="1" applyAlignment="1">
      <alignment/>
    </xf>
    <xf numFmtId="0" fontId="40" fillId="0" borderId="8" xfId="0" applyFont="1" applyBorder="1" applyAlignment="1">
      <alignment vertical="center"/>
    </xf>
    <xf numFmtId="0" fontId="43" fillId="0" borderId="3" xfId="0" applyFont="1" applyBorder="1" applyAlignment="1">
      <alignment/>
    </xf>
    <xf numFmtId="0" fontId="40" fillId="0" borderId="0" xfId="0" applyFont="1" applyBorder="1" applyAlignment="1">
      <alignment vertical="top"/>
    </xf>
    <xf numFmtId="0" fontId="44" fillId="0" borderId="3" xfId="0" applyFont="1" applyBorder="1" applyAlignment="1">
      <alignment/>
    </xf>
    <xf numFmtId="0" fontId="40" fillId="0" borderId="47" xfId="0" applyFont="1" applyBorder="1" applyAlignment="1">
      <alignment/>
    </xf>
    <xf numFmtId="0" fontId="40" fillId="0" borderId="48" xfId="0" applyFont="1" applyBorder="1" applyAlignment="1">
      <alignment/>
    </xf>
    <xf numFmtId="0" fontId="40" fillId="0" borderId="51" xfId="0" applyFont="1" applyBorder="1" applyAlignment="1">
      <alignment/>
    </xf>
    <xf numFmtId="0" fontId="51" fillId="0" borderId="0" xfId="0" applyFont="1" applyBorder="1" applyAlignment="1">
      <alignment/>
    </xf>
    <xf numFmtId="0" fontId="40" fillId="0" borderId="52" xfId="0" applyFont="1" applyBorder="1" applyAlignment="1">
      <alignment/>
    </xf>
    <xf numFmtId="0" fontId="40" fillId="0" borderId="53" xfId="0" applyFont="1" applyBorder="1" applyAlignment="1">
      <alignment/>
    </xf>
    <xf numFmtId="0" fontId="40" fillId="0" borderId="54" xfId="0" applyFont="1" applyBorder="1" applyAlignment="1">
      <alignment/>
    </xf>
    <xf numFmtId="0" fontId="40" fillId="0" borderId="5" xfId="0" applyFont="1" applyBorder="1" applyAlignment="1">
      <alignment horizontal="right" vertical="top"/>
    </xf>
    <xf numFmtId="0" fontId="40" fillId="0" borderId="4" xfId="0" applyFont="1" applyFill="1" applyBorder="1" applyAlignment="1" applyProtection="1">
      <alignment horizontal="center"/>
      <protection locked="0"/>
    </xf>
    <xf numFmtId="0" fontId="40" fillId="0" borderId="8" xfId="0" applyFont="1" applyBorder="1" applyAlignment="1">
      <alignment horizontal="right" vertical="top"/>
    </xf>
    <xf numFmtId="0" fontId="40" fillId="0" borderId="0" xfId="0" applyFont="1" applyFill="1" applyBorder="1" applyAlignment="1" applyProtection="1">
      <alignment horizontal="center"/>
      <protection locked="0"/>
    </xf>
    <xf numFmtId="0" fontId="0" fillId="0" borderId="0" xfId="0" applyFont="1" applyAlignment="1">
      <alignment/>
    </xf>
    <xf numFmtId="0" fontId="45" fillId="0" borderId="30" xfId="0" applyFont="1" applyBorder="1" applyAlignment="1">
      <alignment/>
    </xf>
    <xf numFmtId="0" fontId="40" fillId="0" borderId="5" xfId="0" applyFont="1" applyBorder="1" applyAlignment="1">
      <alignment horizontal="left" vertical="top"/>
    </xf>
    <xf numFmtId="0" fontId="40" fillId="0" borderId="44" xfId="0" applyFont="1" applyFill="1" applyBorder="1" applyAlignment="1" applyProtection="1">
      <alignment horizontal="center"/>
      <protection locked="0"/>
    </xf>
    <xf numFmtId="0" fontId="45" fillId="0" borderId="0" xfId="0" applyFont="1" applyBorder="1" applyAlignment="1">
      <alignment horizontal="left" vertical="top"/>
    </xf>
    <xf numFmtId="0" fontId="43" fillId="0" borderId="0" xfId="0" applyFont="1" applyBorder="1" applyAlignment="1">
      <alignment horizontal="left"/>
    </xf>
    <xf numFmtId="0" fontId="40" fillId="0" borderId="4" xfId="0" applyFont="1" applyBorder="1" applyAlignment="1">
      <alignment horizontal="left" vertical="top"/>
    </xf>
    <xf numFmtId="0" fontId="0" fillId="0" borderId="0" xfId="0" applyFont="1" applyAlignment="1">
      <alignment horizontal="right"/>
    </xf>
    <xf numFmtId="0" fontId="40" fillId="0" borderId="0" xfId="0" applyFont="1" applyFill="1" applyBorder="1" applyAlignment="1">
      <alignment horizontal="left" vertical="top"/>
    </xf>
    <xf numFmtId="0" fontId="40" fillId="0" borderId="55" xfId="0" applyFont="1" applyBorder="1" applyAlignment="1">
      <alignment/>
    </xf>
    <xf numFmtId="0" fontId="40" fillId="0" borderId="56" xfId="0" applyFont="1" applyBorder="1" applyAlignment="1">
      <alignment/>
    </xf>
    <xf numFmtId="0" fontId="50" fillId="0" borderId="0" xfId="0" applyFont="1" applyBorder="1" applyAlignment="1">
      <alignment/>
    </xf>
    <xf numFmtId="0" fontId="54" fillId="0" borderId="0" xfId="0" applyFont="1" applyBorder="1" applyAlignment="1">
      <alignment/>
    </xf>
    <xf numFmtId="0" fontId="40" fillId="0" borderId="42" xfId="0" applyFont="1" applyBorder="1" applyAlignment="1">
      <alignment/>
    </xf>
    <xf numFmtId="0" fontId="40" fillId="0" borderId="45" xfId="0" applyFont="1" applyBorder="1" applyAlignment="1">
      <alignment/>
    </xf>
    <xf numFmtId="0" fontId="43" fillId="0" borderId="3" xfId="0" applyFont="1" applyBorder="1" applyAlignment="1">
      <alignment/>
    </xf>
    <xf numFmtId="0" fontId="40" fillId="0" borderId="4" xfId="0" applyFont="1" applyBorder="1" applyAlignment="1">
      <alignment/>
    </xf>
    <xf numFmtId="0" fontId="40" fillId="0" borderId="3" xfId="0" applyFont="1" applyBorder="1" applyAlignment="1">
      <alignment horizontal="center" vertical="center" textRotation="90"/>
    </xf>
    <xf numFmtId="0" fontId="40" fillId="0" borderId="0" xfId="0" applyFont="1" applyFill="1" applyBorder="1" applyAlignment="1">
      <alignment/>
    </xf>
    <xf numFmtId="0" fontId="43" fillId="0" borderId="0" xfId="0" applyFont="1" applyBorder="1" applyAlignment="1">
      <alignment vertical="center"/>
    </xf>
    <xf numFmtId="0" fontId="40" fillId="0" borderId="4" xfId="0" applyFont="1" applyFill="1" applyBorder="1" applyAlignment="1">
      <alignment/>
    </xf>
    <xf numFmtId="0" fontId="40" fillId="0" borderId="13" xfId="0" applyFont="1" applyFill="1" applyBorder="1" applyAlignment="1">
      <alignment/>
    </xf>
    <xf numFmtId="0" fontId="40" fillId="0" borderId="57" xfId="0" applyFont="1" applyBorder="1" applyAlignment="1">
      <alignment/>
    </xf>
    <xf numFmtId="0" fontId="40" fillId="0" borderId="58" xfId="0" applyFont="1" applyBorder="1" applyAlignment="1">
      <alignment/>
    </xf>
    <xf numFmtId="0" fontId="0" fillId="3" borderId="24"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0" fillId="3" borderId="35" xfId="0" applyFill="1" applyBorder="1" applyAlignment="1" applyProtection="1">
      <alignment horizontal="center"/>
      <protection locked="0"/>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0" fillId="3" borderId="1" xfId="0" applyFont="1" applyFill="1" applyBorder="1" applyAlignment="1">
      <alignment vertical="center"/>
    </xf>
    <xf numFmtId="0" fontId="0" fillId="3" borderId="1" xfId="0" applyFill="1" applyBorder="1" applyAlignment="1" applyProtection="1">
      <alignment vertical="center"/>
      <protection locked="0"/>
    </xf>
    <xf numFmtId="1" fontId="0" fillId="3" borderId="1" xfId="0" applyNumberFormat="1" applyFill="1" applyBorder="1" applyAlignment="1">
      <alignment horizontal="center" vertical="center"/>
    </xf>
    <xf numFmtId="167" fontId="0" fillId="3" borderId="1" xfId="18" applyNumberFormat="1" applyFont="1" applyFill="1" applyBorder="1" applyAlignment="1" applyProtection="1">
      <alignment horizontal="center" vertical="center"/>
      <protection/>
    </xf>
    <xf numFmtId="3" fontId="0" fillId="3" borderId="1" xfId="0" applyNumberFormat="1" applyFill="1" applyBorder="1" applyAlignment="1">
      <alignment horizontal="center" vertical="center"/>
    </xf>
    <xf numFmtId="164" fontId="0" fillId="3" borderId="1" xfId="0" applyNumberFormat="1" applyFill="1" applyBorder="1" applyAlignment="1">
      <alignment horizontal="center" vertical="center"/>
    </xf>
    <xf numFmtId="0" fontId="0" fillId="0" borderId="1" xfId="0" applyFont="1" applyBorder="1" applyAlignment="1">
      <alignment vertical="center"/>
    </xf>
    <xf numFmtId="0" fontId="0" fillId="0" borderId="1" xfId="0" applyBorder="1" applyAlignment="1" applyProtection="1">
      <alignment vertical="center"/>
      <protection locked="0"/>
    </xf>
    <xf numFmtId="1" fontId="0" fillId="0" borderId="1" xfId="0" applyNumberFormat="1" applyBorder="1" applyAlignment="1">
      <alignment horizontal="center" vertical="center"/>
    </xf>
    <xf numFmtId="167" fontId="0" fillId="0" borderId="1" xfId="18" applyNumberFormat="1" applyFont="1" applyFill="1" applyBorder="1" applyAlignment="1" applyProtection="1">
      <alignment horizontal="center" vertical="center"/>
      <protection/>
    </xf>
    <xf numFmtId="3"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0" fillId="0" borderId="1" xfId="0" applyBorder="1" applyAlignment="1" applyProtection="1">
      <alignment vertical="center"/>
      <protection/>
    </xf>
    <xf numFmtId="0" fontId="0" fillId="3" borderId="1" xfId="0" applyFill="1" applyBorder="1" applyAlignment="1" applyProtection="1">
      <alignment vertical="center"/>
      <protection/>
    </xf>
    <xf numFmtId="0" fontId="0" fillId="3" borderId="7" xfId="0" applyFont="1" applyFill="1" applyBorder="1" applyAlignment="1">
      <alignment vertical="center"/>
    </xf>
    <xf numFmtId="0" fontId="0" fillId="3" borderId="7" xfId="0" applyFill="1" applyBorder="1" applyAlignment="1" applyProtection="1">
      <alignment vertical="center"/>
      <protection/>
    </xf>
    <xf numFmtId="164" fontId="0" fillId="3" borderId="7" xfId="0" applyNumberFormat="1" applyFill="1" applyBorder="1" applyAlignment="1">
      <alignment horizontal="center" vertical="center"/>
    </xf>
    <xf numFmtId="0" fontId="27" fillId="3" borderId="1" xfId="0" applyFont="1" applyFill="1" applyBorder="1" applyAlignment="1">
      <alignment horizontal="right" vertical="center"/>
    </xf>
    <xf numFmtId="0" fontId="27" fillId="0" borderId="1" xfId="0" applyFont="1" applyBorder="1" applyAlignment="1">
      <alignment horizontal="right" vertical="center"/>
    </xf>
    <xf numFmtId="0" fontId="19" fillId="0" borderId="0" xfId="0" applyFont="1" applyFill="1" applyBorder="1" applyAlignment="1">
      <alignment/>
    </xf>
    <xf numFmtId="0" fontId="19" fillId="0" borderId="0" xfId="0" applyFont="1" applyFill="1" applyBorder="1" applyAlignment="1">
      <alignment horizontal="left"/>
    </xf>
    <xf numFmtId="0" fontId="0" fillId="3" borderId="6" xfId="0" applyFill="1" applyBorder="1" applyAlignment="1">
      <alignment vertical="center"/>
    </xf>
    <xf numFmtId="164" fontId="0" fillId="3" borderId="6" xfId="0" applyNumberForma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pplyProtection="1">
      <alignment vertical="center"/>
      <protection locked="0"/>
    </xf>
    <xf numFmtId="1" fontId="0" fillId="0" borderId="1" xfId="0" applyNumberFormat="1" applyFill="1" applyBorder="1" applyAlignment="1">
      <alignment horizontal="center" vertical="center"/>
    </xf>
    <xf numFmtId="0" fontId="0" fillId="3" borderId="1" xfId="0" applyFont="1" applyFill="1" applyBorder="1" applyAlignment="1">
      <alignment horizontal="right" vertical="center"/>
    </xf>
    <xf numFmtId="0" fontId="0" fillId="0" borderId="1" xfId="0" applyFont="1" applyFill="1" applyBorder="1" applyAlignment="1">
      <alignment horizontal="right" vertical="center"/>
    </xf>
    <xf numFmtId="0" fontId="0" fillId="0" borderId="1" xfId="0" applyFill="1" applyBorder="1" applyAlignment="1" applyProtection="1">
      <alignment vertical="center"/>
      <protection/>
    </xf>
    <xf numFmtId="0" fontId="5" fillId="3" borderId="0" xfId="0" applyFont="1" applyFill="1" applyAlignment="1">
      <alignment/>
    </xf>
    <xf numFmtId="0" fontId="35" fillId="10" borderId="1" xfId="0" applyFont="1" applyFill="1" applyBorder="1" applyAlignment="1">
      <alignment/>
    </xf>
    <xf numFmtId="0" fontId="5" fillId="0" borderId="0" xfId="0" applyFont="1" applyFill="1" applyBorder="1" applyAlignment="1">
      <alignment/>
    </xf>
    <xf numFmtId="168" fontId="0" fillId="0" borderId="1" xfId="0" applyNumberFormat="1" applyFill="1" applyBorder="1" applyAlignment="1">
      <alignment/>
    </xf>
    <xf numFmtId="0" fontId="5" fillId="0" borderId="13" xfId="0" applyFont="1" applyBorder="1" applyAlignment="1">
      <alignment/>
    </xf>
    <xf numFmtId="0" fontId="0" fillId="0" borderId="13" xfId="0" applyFont="1" applyBorder="1" applyAlignment="1">
      <alignment/>
    </xf>
    <xf numFmtId="1" fontId="0" fillId="3" borderId="0" xfId="0" applyNumberFormat="1" applyFill="1" applyAlignment="1">
      <alignment/>
    </xf>
    <xf numFmtId="3" fontId="0" fillId="3" borderId="0" xfId="0" applyNumberFormat="1" applyFill="1" applyAlignment="1">
      <alignment/>
    </xf>
    <xf numFmtId="0" fontId="0" fillId="0" borderId="0" xfId="0" applyFont="1" applyAlignment="1">
      <alignment vertical="top"/>
    </xf>
    <xf numFmtId="0" fontId="0" fillId="3" borderId="0" xfId="0" applyFill="1" applyAlignment="1">
      <alignment vertical="top"/>
    </xf>
    <xf numFmtId="0" fontId="0" fillId="3" borderId="0" xfId="0" applyFont="1" applyFill="1" applyAlignment="1">
      <alignment vertical="top" wrapText="1"/>
    </xf>
    <xf numFmtId="0" fontId="0" fillId="2" borderId="13" xfId="0" applyFill="1" applyBorder="1" applyAlignment="1">
      <alignment/>
    </xf>
    <xf numFmtId="1" fontId="0" fillId="0" borderId="0" xfId="0" applyNumberFormat="1" applyFill="1" applyAlignment="1">
      <alignment/>
    </xf>
    <xf numFmtId="0" fontId="35" fillId="3" borderId="0" xfId="0" applyFont="1" applyFill="1" applyAlignment="1">
      <alignment/>
    </xf>
    <xf numFmtId="0" fontId="0" fillId="2" borderId="0" xfId="0" applyFill="1" applyAlignment="1">
      <alignment/>
    </xf>
    <xf numFmtId="1" fontId="0" fillId="2" borderId="0" xfId="0" applyNumberFormat="1" applyFill="1" applyAlignment="1">
      <alignment horizontal="right"/>
    </xf>
    <xf numFmtId="1" fontId="0" fillId="2" borderId="0" xfId="0" applyNumberFormat="1" applyFill="1" applyAlignment="1">
      <alignment/>
    </xf>
    <xf numFmtId="0" fontId="57" fillId="0" borderId="0" xfId="0" applyFont="1" applyAlignment="1">
      <alignment/>
    </xf>
    <xf numFmtId="0" fontId="58" fillId="0" borderId="59" xfId="0" applyFont="1" applyBorder="1" applyAlignment="1">
      <alignment horizontal="center"/>
    </xf>
    <xf numFmtId="0" fontId="0" fillId="0" borderId="59" xfId="0" applyBorder="1" applyAlignment="1">
      <alignment/>
    </xf>
    <xf numFmtId="0" fontId="59" fillId="0" borderId="1" xfId="0" applyFont="1" applyBorder="1" applyAlignment="1">
      <alignment horizontal="right"/>
    </xf>
    <xf numFmtId="0" fontId="0" fillId="0" borderId="0" xfId="0" applyFill="1" applyBorder="1" applyAlignment="1" applyProtection="1">
      <alignment/>
      <protection locked="0"/>
    </xf>
    <xf numFmtId="3" fontId="5" fillId="4" borderId="1" xfId="0" applyNumberFormat="1" applyFont="1" applyFill="1" applyBorder="1" applyAlignment="1">
      <alignment horizontal="center"/>
    </xf>
    <xf numFmtId="0" fontId="5" fillId="5" borderId="1" xfId="0" applyFont="1" applyFill="1" applyBorder="1" applyAlignment="1">
      <alignment/>
    </xf>
    <xf numFmtId="3" fontId="0" fillId="5" borderId="1" xfId="0" applyNumberFormat="1" applyFont="1" applyFill="1" applyBorder="1" applyAlignment="1">
      <alignment/>
    </xf>
    <xf numFmtId="0" fontId="59" fillId="0" borderId="1" xfId="0" applyFont="1" applyBorder="1" applyAlignment="1">
      <alignment horizontal="right" vertical="center" wrapText="1"/>
    </xf>
    <xf numFmtId="3" fontId="59" fillId="4" borderId="1" xfId="0" applyNumberFormat="1" applyFont="1" applyFill="1" applyBorder="1" applyAlignment="1">
      <alignment/>
    </xf>
    <xf numFmtId="3" fontId="26" fillId="5" borderId="1" xfId="0" applyNumberFormat="1" applyFont="1" applyFill="1" applyBorder="1" applyAlignment="1">
      <alignment/>
    </xf>
    <xf numFmtId="0" fontId="59" fillId="0" borderId="1" xfId="0" applyFont="1" applyBorder="1" applyAlignment="1">
      <alignment horizontal="right" vertical="top" wrapText="1"/>
    </xf>
    <xf numFmtId="3" fontId="59" fillId="4" borderId="1" xfId="0" applyNumberFormat="1" applyFont="1" applyFill="1" applyBorder="1" applyAlignment="1">
      <alignment vertical="top"/>
    </xf>
    <xf numFmtId="3" fontId="60" fillId="4" borderId="1" xfId="0" applyNumberFormat="1" applyFont="1" applyFill="1" applyBorder="1" applyAlignment="1">
      <alignment/>
    </xf>
    <xf numFmtId="3" fontId="5" fillId="5" borderId="1" xfId="0" applyNumberFormat="1" applyFont="1" applyFill="1" applyBorder="1" applyAlignment="1">
      <alignment/>
    </xf>
    <xf numFmtId="3" fontId="0" fillId="0" borderId="0" xfId="0" applyNumberFormat="1" applyAlignment="1">
      <alignment/>
    </xf>
    <xf numFmtId="3" fontId="0" fillId="0" borderId="0" xfId="0" applyNumberFormat="1" applyFill="1" applyBorder="1" applyAlignment="1" applyProtection="1">
      <alignment/>
      <protection locked="0"/>
    </xf>
    <xf numFmtId="3" fontId="0" fillId="0" borderId="0" xfId="0" applyNumberFormat="1" applyFill="1" applyBorder="1" applyAlignment="1">
      <alignment/>
    </xf>
    <xf numFmtId="0" fontId="26" fillId="0" borderId="0" xfId="0" applyFont="1" applyFill="1" applyAlignment="1">
      <alignment/>
    </xf>
    <xf numFmtId="0" fontId="26" fillId="0" borderId="0" xfId="0" applyFont="1" applyAlignment="1">
      <alignment/>
    </xf>
    <xf numFmtId="3" fontId="5" fillId="0" borderId="0" xfId="0" applyNumberFormat="1" applyFont="1" applyFill="1" applyBorder="1" applyAlignment="1">
      <alignment/>
    </xf>
    <xf numFmtId="0" fontId="26" fillId="0" borderId="1" xfId="0" applyFont="1" applyBorder="1" applyAlignment="1">
      <alignment/>
    </xf>
    <xf numFmtId="0" fontId="26" fillId="0" borderId="1" xfId="0" applyFont="1" applyBorder="1" applyAlignment="1">
      <alignment horizontal="left"/>
    </xf>
    <xf numFmtId="0" fontId="26" fillId="0" borderId="1" xfId="0" applyFont="1" applyBorder="1" applyAlignment="1">
      <alignment wrapText="1"/>
    </xf>
    <xf numFmtId="0" fontId="26" fillId="0" borderId="7" xfId="0" applyFont="1" applyFill="1" applyBorder="1" applyAlignment="1">
      <alignment vertical="center" wrapText="1"/>
    </xf>
    <xf numFmtId="0" fontId="26" fillId="0" borderId="8" xfId="0" applyFont="1" applyFill="1" applyBorder="1" applyAlignment="1">
      <alignment vertical="center" wrapText="1"/>
    </xf>
    <xf numFmtId="0" fontId="26" fillId="0" borderId="8" xfId="0" applyFont="1" applyFill="1" applyBorder="1" applyAlignment="1">
      <alignment vertical="center"/>
    </xf>
    <xf numFmtId="0" fontId="26" fillId="0" borderId="8" xfId="0" applyFont="1" applyFill="1" applyBorder="1" applyAlignment="1">
      <alignment/>
    </xf>
    <xf numFmtId="0" fontId="26" fillId="0" borderId="6" xfId="0" applyFont="1" applyFill="1" applyBorder="1" applyAlignment="1">
      <alignment/>
    </xf>
    <xf numFmtId="0" fontId="15" fillId="3" borderId="1" xfId="0" applyFont="1" applyFill="1" applyBorder="1" applyAlignment="1">
      <alignment horizontal="center" vertical="center" wrapText="1"/>
    </xf>
    <xf numFmtId="0" fontId="14" fillId="0" borderId="0" xfId="0" applyFont="1" applyAlignment="1">
      <alignment/>
    </xf>
    <xf numFmtId="0" fontId="3" fillId="0" borderId="0" xfId="15" applyNumberFormat="1" applyFont="1" applyFill="1" applyBorder="1" applyAlignment="1" applyProtection="1">
      <alignment/>
      <protection/>
    </xf>
    <xf numFmtId="0" fontId="0" fillId="0" borderId="0" xfId="0" applyFont="1" applyBorder="1" applyAlignment="1">
      <alignment horizontal="left" vertical="top" wrapText="1"/>
    </xf>
    <xf numFmtId="0" fontId="5" fillId="0" borderId="0" xfId="0" applyFont="1" applyBorder="1" applyAlignment="1">
      <alignment horizontal="left" vertical="top" wrapText="1"/>
    </xf>
    <xf numFmtId="0" fontId="0" fillId="0" borderId="0" xfId="0" applyFont="1" applyBorder="1" applyAlignment="1">
      <alignment vertical="center" wrapText="1"/>
    </xf>
    <xf numFmtId="0" fontId="8" fillId="0" borderId="0" xfId="0" applyFont="1" applyFill="1" applyBorder="1" applyAlignment="1">
      <alignment horizontal="center"/>
    </xf>
    <xf numFmtId="0" fontId="0" fillId="0" borderId="1" xfId="0" applyFont="1" applyFill="1" applyBorder="1" applyAlignment="1">
      <alignment horizontal="left" vertical="top"/>
    </xf>
    <xf numFmtId="0" fontId="5" fillId="0" borderId="7" xfId="0" applyFont="1" applyBorder="1" applyAlignment="1">
      <alignment horizontal="center"/>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14" fillId="0" borderId="1" xfId="0" applyFont="1" applyBorder="1" applyAlignment="1">
      <alignment horizontal="center" vertical="center" wrapText="1"/>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7" xfId="0" applyNumberFormat="1" applyBorder="1" applyAlignment="1">
      <alignment horizontal="center"/>
    </xf>
    <xf numFmtId="1" fontId="0" fillId="0" borderId="7" xfId="0" applyNumberFormat="1" applyBorder="1" applyAlignment="1">
      <alignment horizontal="center"/>
    </xf>
    <xf numFmtId="0" fontId="0" fillId="0" borderId="7" xfId="0" applyBorder="1" applyAlignment="1">
      <alignment horizontal="center"/>
    </xf>
    <xf numFmtId="3" fontId="0" fillId="0" borderId="8" xfId="0" applyNumberFormat="1" applyBorder="1" applyAlignment="1">
      <alignment horizontal="center"/>
    </xf>
    <xf numFmtId="0" fontId="0" fillId="0" borderId="8" xfId="0" applyBorder="1" applyAlignment="1">
      <alignment horizontal="center"/>
    </xf>
    <xf numFmtId="0" fontId="0" fillId="0" borderId="6" xfId="0" applyBorder="1" applyAlignment="1">
      <alignment horizontal="center"/>
    </xf>
    <xf numFmtId="3" fontId="14" fillId="3" borderId="2" xfId="0" applyNumberFormat="1" applyFont="1" applyFill="1" applyBorder="1" applyAlignment="1">
      <alignment horizontal="center" vertical="center"/>
    </xf>
    <xf numFmtId="3" fontId="14" fillId="3" borderId="1" xfId="0" applyNumberFormat="1" applyFont="1" applyFill="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horizontal="center"/>
    </xf>
    <xf numFmtId="3" fontId="14" fillId="3" borderId="1" xfId="0" applyNumberFormat="1" applyFont="1" applyFill="1" applyBorder="1" applyAlignment="1">
      <alignment horizontal="center" vertical="center"/>
    </xf>
    <xf numFmtId="0" fontId="0" fillId="0" borderId="0" xfId="0" applyFont="1" applyBorder="1" applyAlignment="1">
      <alignment horizontal="right" vertical="top"/>
    </xf>
    <xf numFmtId="0" fontId="0" fillId="0" borderId="0" xfId="0" applyFont="1" applyBorder="1" applyAlignment="1">
      <alignment horizontal="right"/>
    </xf>
    <xf numFmtId="0" fontId="14" fillId="4" borderId="1" xfId="0" applyFont="1" applyFill="1" applyBorder="1" applyAlignment="1">
      <alignment horizontal="center"/>
    </xf>
    <xf numFmtId="0" fontId="4" fillId="0" borderId="30" xfId="0" applyFont="1" applyBorder="1" applyAlignment="1">
      <alignment horizontal="right" vertical="center" textRotation="90"/>
    </xf>
    <xf numFmtId="1" fontId="14" fillId="4" borderId="1" xfId="0" applyNumberFormat="1" applyFont="1" applyFill="1" applyBorder="1" applyAlignment="1">
      <alignment horizontal="center"/>
    </xf>
    <xf numFmtId="0" fontId="4" fillId="0" borderId="8" xfId="0" applyFont="1" applyBorder="1" applyAlignment="1">
      <alignment horizontal="right" vertical="center" textRotation="90"/>
    </xf>
    <xf numFmtId="1" fontId="0" fillId="4" borderId="1" xfId="0" applyNumberFormat="1" applyFill="1" applyBorder="1" applyAlignment="1">
      <alignment horizontal="center"/>
    </xf>
    <xf numFmtId="3" fontId="0" fillId="4" borderId="1" xfId="0" applyNumberFormat="1" applyFill="1" applyBorder="1" applyAlignment="1">
      <alignment horizontal="center"/>
    </xf>
    <xf numFmtId="0" fontId="21" fillId="0" borderId="60" xfId="0" applyFont="1" applyBorder="1" applyAlignment="1">
      <alignment horizontal="center" vertical="center" wrapText="1"/>
    </xf>
    <xf numFmtId="0" fontId="21" fillId="0" borderId="61" xfId="0" applyFont="1" applyBorder="1" applyAlignment="1">
      <alignment horizont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0" fillId="7" borderId="1" xfId="0" applyFont="1" applyFill="1" applyBorder="1" applyAlignment="1" applyProtection="1">
      <alignment horizontal="center" vertical="center" wrapText="1"/>
      <protection/>
    </xf>
    <xf numFmtId="0" fontId="5" fillId="0" borderId="1" xfId="0" applyFont="1" applyBorder="1" applyAlignment="1">
      <alignment horizontal="center" vertical="center" textRotation="90"/>
    </xf>
    <xf numFmtId="0" fontId="5" fillId="0" borderId="7" xfId="0" applyFont="1" applyBorder="1" applyAlignment="1">
      <alignment horizontal="left" vertical="top"/>
    </xf>
    <xf numFmtId="0" fontId="5" fillId="0" borderId="14" xfId="0" applyFont="1" applyBorder="1" applyAlignment="1">
      <alignment horizontal="left" vertical="top"/>
    </xf>
    <xf numFmtId="0" fontId="5" fillId="0" borderId="7" xfId="0" applyFont="1" applyBorder="1" applyAlignment="1">
      <alignment horizontal="center" vertical="center" textRotation="90"/>
    </xf>
    <xf numFmtId="0" fontId="5" fillId="0" borderId="1" xfId="0" applyFont="1" applyBorder="1" applyAlignment="1">
      <alignment horizontal="left" vertical="top" wrapText="1"/>
    </xf>
    <xf numFmtId="0" fontId="5" fillId="0" borderId="15" xfId="0" applyFont="1" applyBorder="1" applyAlignment="1">
      <alignment horizontal="left" vertical="top"/>
    </xf>
    <xf numFmtId="0" fontId="5" fillId="0" borderId="1" xfId="0" applyFont="1" applyBorder="1" applyAlignment="1">
      <alignment horizontal="left" vertical="top"/>
    </xf>
    <xf numFmtId="0" fontId="5" fillId="0" borderId="1" xfId="0" applyFont="1" applyBorder="1" applyAlignment="1">
      <alignment horizontal="center" vertical="top"/>
    </xf>
    <xf numFmtId="0" fontId="5" fillId="0" borderId="6" xfId="0" applyFont="1" applyBorder="1" applyAlignment="1">
      <alignment horizontal="center" vertical="center" textRotation="90"/>
    </xf>
    <xf numFmtId="0" fontId="22" fillId="0" borderId="14" xfId="0" applyFont="1" applyBorder="1" applyAlignment="1">
      <alignment horizontal="left" vertical="top"/>
    </xf>
    <xf numFmtId="0" fontId="34" fillId="0" borderId="0" xfId="0" applyFont="1" applyBorder="1" applyAlignment="1">
      <alignment horizontal="center"/>
    </xf>
    <xf numFmtId="0" fontId="8" fillId="0" borderId="44" xfId="0" applyFont="1" applyBorder="1" applyAlignment="1">
      <alignment horizontal="center"/>
    </xf>
    <xf numFmtId="0" fontId="36" fillId="3" borderId="44" xfId="0" applyFont="1" applyFill="1" applyBorder="1" applyAlignment="1">
      <alignment horizontal="center"/>
    </xf>
    <xf numFmtId="0" fontId="4" fillId="9" borderId="54" xfId="0" applyFont="1" applyFill="1" applyBorder="1" applyAlignment="1">
      <alignment horizontal="left" vertical="top" wrapText="1"/>
    </xf>
    <xf numFmtId="0" fontId="4" fillId="0" borderId="62" xfId="0" applyFont="1" applyFill="1" applyBorder="1" applyAlignment="1">
      <alignment horizontal="center" vertical="center"/>
    </xf>
    <xf numFmtId="0" fontId="4" fillId="0" borderId="31" xfId="0" applyFont="1" applyBorder="1" applyAlignment="1">
      <alignment horizontal="left" vertical="center" wrapText="1"/>
    </xf>
    <xf numFmtId="0" fontId="0" fillId="4" borderId="27" xfId="0" applyFont="1" applyFill="1" applyBorder="1" applyAlignment="1">
      <alignment horizontal="left" vertical="top" wrapText="1"/>
    </xf>
    <xf numFmtId="0" fontId="4" fillId="0" borderId="27" xfId="0" applyFont="1" applyBorder="1" applyAlignment="1">
      <alignment horizontal="left" vertical="center" wrapText="1"/>
    </xf>
    <xf numFmtId="0" fontId="0" fillId="11" borderId="27" xfId="0" applyFill="1" applyBorder="1" applyAlignment="1">
      <alignment horizontal="center"/>
    </xf>
    <xf numFmtId="0" fontId="0" fillId="11" borderId="63" xfId="0" applyFont="1" applyFill="1" applyBorder="1" applyAlignment="1">
      <alignment horizontal="center" vertical="center"/>
    </xf>
    <xf numFmtId="0" fontId="0" fillId="4" borderId="27" xfId="0" applyFont="1" applyFill="1" applyBorder="1" applyAlignment="1">
      <alignment horizontal="left" vertical="center" wrapText="1"/>
    </xf>
    <xf numFmtId="0" fontId="4" fillId="0" borderId="64" xfId="0" applyFont="1" applyBorder="1" applyAlignment="1">
      <alignment horizontal="left" vertical="center" wrapText="1"/>
    </xf>
    <xf numFmtId="0" fontId="0" fillId="4" borderId="62" xfId="0" applyFont="1" applyFill="1" applyBorder="1" applyAlignment="1">
      <alignment horizontal="left" vertical="top" wrapText="1"/>
    </xf>
    <xf numFmtId="0" fontId="4" fillId="12" borderId="0" xfId="0" applyFont="1" applyFill="1" applyBorder="1" applyAlignment="1">
      <alignment horizontal="left" vertical="center"/>
    </xf>
    <xf numFmtId="0" fontId="40" fillId="0" borderId="7" xfId="0" applyFont="1" applyBorder="1" applyAlignment="1">
      <alignment horizontal="center" vertical="center" textRotation="90"/>
    </xf>
    <xf numFmtId="0" fontId="40" fillId="0" borderId="6" xfId="0" applyFont="1" applyBorder="1" applyAlignment="1">
      <alignment horizontal="center" vertical="center" textRotation="90"/>
    </xf>
    <xf numFmtId="0" fontId="40" fillId="0" borderId="8" xfId="0" applyFont="1" applyBorder="1" applyAlignment="1">
      <alignment horizontal="center" vertical="center" textRotation="90"/>
    </xf>
    <xf numFmtId="0" fontId="40" fillId="0" borderId="1" xfId="0" applyFont="1" applyBorder="1" applyAlignment="1">
      <alignment horizontal="center" vertical="center" textRotation="90"/>
    </xf>
    <xf numFmtId="0" fontId="40" fillId="0" borderId="8" xfId="0" applyFont="1" applyBorder="1" applyAlignment="1">
      <alignment horizontal="center" textRotation="90"/>
    </xf>
    <xf numFmtId="0" fontId="40" fillId="0" borderId="44" xfId="0" applyFont="1" applyBorder="1" applyAlignment="1">
      <alignment horizontal="center"/>
    </xf>
    <xf numFmtId="0" fontId="0" fillId="0" borderId="23" xfId="0" applyFont="1" applyBorder="1" applyAlignment="1">
      <alignment horizontal="right"/>
    </xf>
    <xf numFmtId="0" fontId="0" fillId="0" borderId="27" xfId="0" applyFont="1" applyBorder="1" applyAlignment="1">
      <alignment horizontal="right"/>
    </xf>
    <xf numFmtId="0" fontId="0" fillId="0" borderId="27" xfId="0" applyFont="1" applyBorder="1" applyAlignment="1">
      <alignment horizontal="right" vertical="top"/>
    </xf>
    <xf numFmtId="0" fontId="0" fillId="0" borderId="64" xfId="0" applyFont="1" applyBorder="1" applyAlignment="1">
      <alignment horizontal="right" vertical="top"/>
    </xf>
    <xf numFmtId="0" fontId="5" fillId="0" borderId="1" xfId="0" applyFont="1" applyBorder="1" applyAlignment="1" applyProtection="1">
      <alignment horizontal="center" vertical="center" wrapText="1"/>
      <protection/>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1" fontId="26" fillId="0" borderId="2" xfId="0" applyNumberFormat="1" applyFont="1" applyBorder="1" applyAlignment="1">
      <alignment horizontal="center" vertical="top" wrapText="1"/>
    </xf>
    <xf numFmtId="0" fontId="26" fillId="0" borderId="1" xfId="0" applyFont="1" applyBorder="1" applyAlignment="1">
      <alignment horizontal="center" vertical="top" wrapText="1"/>
    </xf>
    <xf numFmtId="0" fontId="26" fillId="0" borderId="2" xfId="0" applyNumberFormat="1" applyFont="1" applyBorder="1" applyAlignment="1">
      <alignment horizontal="center" vertical="top" wrapText="1"/>
    </xf>
    <xf numFmtId="1" fontId="26" fillId="0" borderId="7" xfId="0" applyNumberFormat="1" applyFont="1" applyBorder="1" applyAlignment="1">
      <alignment horizontal="center"/>
    </xf>
    <xf numFmtId="0" fontId="26" fillId="0" borderId="7" xfId="0" applyFont="1" applyBorder="1" applyAlignment="1">
      <alignment horizontal="center"/>
    </xf>
    <xf numFmtId="0" fontId="26" fillId="0" borderId="8" xfId="0" applyFont="1" applyBorder="1" applyAlignment="1">
      <alignment horizontal="center"/>
    </xf>
    <xf numFmtId="0" fontId="26" fillId="0" borderId="6" xfId="0" applyFont="1" applyBorder="1" applyAlignment="1">
      <alignment horizontal="center"/>
    </xf>
    <xf numFmtId="3" fontId="15" fillId="3" borderId="2" xfId="0" applyNumberFormat="1" applyFont="1" applyFill="1" applyBorder="1" applyAlignment="1">
      <alignment horizontal="center" vertical="center"/>
    </xf>
    <xf numFmtId="3" fontId="15" fillId="3" borderId="1" xfId="0" applyNumberFormat="1" applyFont="1" applyFill="1" applyBorder="1" applyAlignment="1">
      <alignment horizontal="center"/>
    </xf>
    <xf numFmtId="0" fontId="0" fillId="0" borderId="1" xfId="0" applyBorder="1" applyAlignment="1">
      <alignment/>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133350</xdr:rowOff>
    </xdr:from>
    <xdr:to>
      <xdr:col>6</xdr:col>
      <xdr:colOff>676275</xdr:colOff>
      <xdr:row>11</xdr:row>
      <xdr:rowOff>638175</xdr:rowOff>
    </xdr:to>
    <xdr:sp fLocksText="0">
      <xdr:nvSpPr>
        <xdr:cNvPr id="1" name="ZoneTexte 1"/>
        <xdr:cNvSpPr txBox="1">
          <a:spLocks noChangeArrowheads="1"/>
        </xdr:cNvSpPr>
      </xdr:nvSpPr>
      <xdr:spPr>
        <a:xfrm>
          <a:off x="8077200" y="2914650"/>
          <a:ext cx="2200275" cy="504825"/>
        </a:xfrm>
        <a:prstGeom prst="rect">
          <a:avLst/>
        </a:prstGeom>
        <a:solidFill>
          <a:srgbClr val="C6D9F1"/>
        </a:solidFill>
        <a:ln w="9360" cmpd="sng">
          <a:solidFill>
            <a:srgbClr val="BCBCBC"/>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latin typeface="Calibri"/>
              <a:ea typeface="Calibri"/>
              <a:cs typeface="Calibri"/>
            </a:rPr>
            <a:t>Description générale</a:t>
          </a:r>
        </a:p>
      </xdr:txBody>
    </xdr:sp>
    <xdr:clientData/>
  </xdr:twoCellAnchor>
  <xdr:twoCellAnchor>
    <xdr:from>
      <xdr:col>4</xdr:col>
      <xdr:colOff>9525</xdr:colOff>
      <xdr:row>12</xdr:row>
      <xdr:rowOff>200025</xdr:rowOff>
    </xdr:from>
    <xdr:to>
      <xdr:col>6</xdr:col>
      <xdr:colOff>676275</xdr:colOff>
      <xdr:row>12</xdr:row>
      <xdr:rowOff>695325</xdr:rowOff>
    </xdr:to>
    <xdr:sp fLocksText="0">
      <xdr:nvSpPr>
        <xdr:cNvPr id="2" name="ZoneTexte 2"/>
        <xdr:cNvSpPr txBox="1">
          <a:spLocks noChangeArrowheads="1"/>
        </xdr:cNvSpPr>
      </xdr:nvSpPr>
      <xdr:spPr>
        <a:xfrm>
          <a:off x="8086725" y="3848100"/>
          <a:ext cx="2190750" cy="495300"/>
        </a:xfrm>
        <a:prstGeom prst="rect">
          <a:avLst/>
        </a:prstGeom>
        <a:solidFill>
          <a:srgbClr val="C6D9F1"/>
        </a:solidFill>
        <a:ln w="9360" cmpd="sng">
          <a:solidFill>
            <a:srgbClr val="BCBCBC"/>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latin typeface="Calibri"/>
              <a:ea typeface="Calibri"/>
              <a:cs typeface="Calibri"/>
            </a:rPr>
            <a:t>Consommation des appareils ménagers et consommation d'eau</a:t>
          </a:r>
        </a:p>
      </xdr:txBody>
    </xdr:sp>
    <xdr:clientData/>
  </xdr:twoCellAnchor>
  <xdr:twoCellAnchor>
    <xdr:from>
      <xdr:col>4</xdr:col>
      <xdr:colOff>0</xdr:colOff>
      <xdr:row>13</xdr:row>
      <xdr:rowOff>38100</xdr:rowOff>
    </xdr:from>
    <xdr:to>
      <xdr:col>6</xdr:col>
      <xdr:colOff>695325</xdr:colOff>
      <xdr:row>13</xdr:row>
      <xdr:rowOff>533400</xdr:rowOff>
    </xdr:to>
    <xdr:sp fLocksText="0">
      <xdr:nvSpPr>
        <xdr:cNvPr id="3" name="ZoneTexte 3"/>
        <xdr:cNvSpPr txBox="1">
          <a:spLocks noChangeArrowheads="1"/>
        </xdr:cNvSpPr>
      </xdr:nvSpPr>
      <xdr:spPr>
        <a:xfrm>
          <a:off x="8077200" y="4686300"/>
          <a:ext cx="2219325" cy="495300"/>
        </a:xfrm>
        <a:prstGeom prst="rect">
          <a:avLst/>
        </a:prstGeom>
        <a:solidFill>
          <a:srgbClr val="C6D9F1"/>
        </a:solidFill>
        <a:ln w="9360" cmpd="sng">
          <a:solidFill>
            <a:srgbClr val="BCBCBC"/>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latin typeface="Calibri"/>
              <a:ea typeface="Calibri"/>
              <a:cs typeface="Calibri"/>
            </a:rPr>
            <a:t>Consommation liées aux déplacements en voiture</a:t>
          </a:r>
        </a:p>
      </xdr:txBody>
    </xdr:sp>
    <xdr:clientData/>
  </xdr:twoCellAnchor>
  <xdr:twoCellAnchor>
    <xdr:from>
      <xdr:col>2</xdr:col>
      <xdr:colOff>2238375</xdr:colOff>
      <xdr:row>19</xdr:row>
      <xdr:rowOff>133350</xdr:rowOff>
    </xdr:from>
    <xdr:to>
      <xdr:col>4</xdr:col>
      <xdr:colOff>600075</xdr:colOff>
      <xdr:row>22</xdr:row>
      <xdr:rowOff>0</xdr:rowOff>
    </xdr:to>
    <xdr:sp fLocksText="0">
      <xdr:nvSpPr>
        <xdr:cNvPr id="4" name="ZoneTexte 5"/>
        <xdr:cNvSpPr txBox="1">
          <a:spLocks noChangeArrowheads="1"/>
        </xdr:cNvSpPr>
      </xdr:nvSpPr>
      <xdr:spPr>
        <a:xfrm>
          <a:off x="6429375" y="7029450"/>
          <a:ext cx="2247900" cy="447675"/>
        </a:xfrm>
        <a:prstGeom prst="rect">
          <a:avLst/>
        </a:prstGeom>
        <a:solidFill>
          <a:srgbClr val="BFBFBF"/>
        </a:solidFill>
        <a:ln w="9360" cmpd="sng">
          <a:solidFill>
            <a:srgbClr val="BCBCBC"/>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latin typeface="Calibri"/>
              <a:ea typeface="Calibri"/>
              <a:cs typeface="Calibri"/>
            </a:rPr>
            <a:t>Hypothèses de calculs</a:t>
          </a:r>
        </a:p>
      </xdr:txBody>
    </xdr:sp>
    <xdr:clientData/>
  </xdr:twoCellAnchor>
  <xdr:twoCellAnchor>
    <xdr:from>
      <xdr:col>4</xdr:col>
      <xdr:colOff>0</xdr:colOff>
      <xdr:row>14</xdr:row>
      <xdr:rowOff>238125</xdr:rowOff>
    </xdr:from>
    <xdr:to>
      <xdr:col>6</xdr:col>
      <xdr:colOff>695325</xdr:colOff>
      <xdr:row>14</xdr:row>
      <xdr:rowOff>733425</xdr:rowOff>
    </xdr:to>
    <xdr:sp fLocksText="0">
      <xdr:nvSpPr>
        <xdr:cNvPr id="5" name="ZoneTexte 6"/>
        <xdr:cNvSpPr txBox="1">
          <a:spLocks noChangeArrowheads="1"/>
        </xdr:cNvSpPr>
      </xdr:nvSpPr>
      <xdr:spPr>
        <a:xfrm>
          <a:off x="8077200" y="5476875"/>
          <a:ext cx="2219325" cy="495300"/>
        </a:xfrm>
        <a:prstGeom prst="rect">
          <a:avLst/>
        </a:prstGeom>
        <a:solidFill>
          <a:srgbClr val="C6D9F1"/>
        </a:solidFill>
        <a:ln w="9360" cmpd="sng">
          <a:solidFill>
            <a:srgbClr val="BCBCBC"/>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latin typeface="Calibri"/>
              <a:ea typeface="Calibri"/>
              <a:cs typeface="Calibri"/>
            </a:rPr>
            <a:t>Fiche d'aide au diagnostic
énergie et eau</a:t>
          </a:r>
        </a:p>
      </xdr:txBody>
    </xdr:sp>
    <xdr:clientData/>
  </xdr:twoCellAnchor>
  <xdr:twoCellAnchor editAs="oneCell">
    <xdr:from>
      <xdr:col>0</xdr:col>
      <xdr:colOff>0</xdr:colOff>
      <xdr:row>0</xdr:row>
      <xdr:rowOff>0</xdr:rowOff>
    </xdr:from>
    <xdr:to>
      <xdr:col>3</xdr:col>
      <xdr:colOff>9525</xdr:colOff>
      <xdr:row>6</xdr:row>
      <xdr:rowOff>180975</xdr:rowOff>
    </xdr:to>
    <xdr:pic>
      <xdr:nvPicPr>
        <xdr:cNvPr id="6" name="Picture 7"/>
        <xdr:cNvPicPr preferRelativeResize="1">
          <a:picLocks noChangeAspect="1"/>
        </xdr:cNvPicPr>
      </xdr:nvPicPr>
      <xdr:blipFill>
        <a:blip r:embed="rId1"/>
        <a:stretch>
          <a:fillRect/>
        </a:stretch>
      </xdr:blipFill>
      <xdr:spPr>
        <a:xfrm>
          <a:off x="0" y="0"/>
          <a:ext cx="7267575" cy="1466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xdr:row>
      <xdr:rowOff>9525</xdr:rowOff>
    </xdr:from>
    <xdr:to>
      <xdr:col>5</xdr:col>
      <xdr:colOff>295275</xdr:colOff>
      <xdr:row>16</xdr:row>
      <xdr:rowOff>180975</xdr:rowOff>
    </xdr:to>
    <xdr:sp>
      <xdr:nvSpPr>
        <xdr:cNvPr id="1" name="Rectangle 1"/>
        <xdr:cNvSpPr>
          <a:spLocks/>
        </xdr:cNvSpPr>
      </xdr:nvSpPr>
      <xdr:spPr>
        <a:xfrm>
          <a:off x="161925" y="685800"/>
          <a:ext cx="7600950" cy="2781300"/>
        </a:xfrm>
        <a:prstGeom prst="rect">
          <a:avLst/>
        </a:prstGeom>
        <a:noFill/>
        <a:ln w="2556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21</xdr:row>
      <xdr:rowOff>161925</xdr:rowOff>
    </xdr:from>
    <xdr:to>
      <xdr:col>4</xdr:col>
      <xdr:colOff>200025</xdr:colOff>
      <xdr:row>40</xdr:row>
      <xdr:rowOff>123825</xdr:rowOff>
    </xdr:to>
    <xdr:sp>
      <xdr:nvSpPr>
        <xdr:cNvPr id="2" name="Rectangle 2"/>
        <xdr:cNvSpPr>
          <a:spLocks/>
        </xdr:cNvSpPr>
      </xdr:nvSpPr>
      <xdr:spPr>
        <a:xfrm>
          <a:off x="180975" y="4400550"/>
          <a:ext cx="6562725" cy="7696200"/>
        </a:xfrm>
        <a:prstGeom prst="rect">
          <a:avLst/>
        </a:prstGeom>
        <a:noFill/>
        <a:ln w="2556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209550</xdr:colOff>
      <xdr:row>3</xdr:row>
      <xdr:rowOff>0</xdr:rowOff>
    </xdr:from>
    <xdr:to>
      <xdr:col>11</xdr:col>
      <xdr:colOff>200025</xdr:colOff>
      <xdr:row>16</xdr:row>
      <xdr:rowOff>180975</xdr:rowOff>
    </xdr:to>
    <xdr:sp>
      <xdr:nvSpPr>
        <xdr:cNvPr id="3" name="Rectangle 3"/>
        <xdr:cNvSpPr>
          <a:spLocks/>
        </xdr:cNvSpPr>
      </xdr:nvSpPr>
      <xdr:spPr>
        <a:xfrm>
          <a:off x="8153400" y="676275"/>
          <a:ext cx="6400800" cy="2790825"/>
        </a:xfrm>
        <a:prstGeom prst="rect">
          <a:avLst/>
        </a:prstGeom>
        <a:noFill/>
        <a:ln w="2556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200025</xdr:colOff>
      <xdr:row>21</xdr:row>
      <xdr:rowOff>161925</xdr:rowOff>
    </xdr:from>
    <xdr:to>
      <xdr:col>12</xdr:col>
      <xdr:colOff>200025</xdr:colOff>
      <xdr:row>39</xdr:row>
      <xdr:rowOff>85725</xdr:rowOff>
    </xdr:to>
    <xdr:sp>
      <xdr:nvSpPr>
        <xdr:cNvPr id="4" name="Rectangle 4"/>
        <xdr:cNvSpPr>
          <a:spLocks/>
        </xdr:cNvSpPr>
      </xdr:nvSpPr>
      <xdr:spPr>
        <a:xfrm>
          <a:off x="8143875" y="4400550"/>
          <a:ext cx="7829550" cy="7343775"/>
        </a:xfrm>
        <a:prstGeom prst="rect">
          <a:avLst/>
        </a:prstGeom>
        <a:noFill/>
        <a:ln w="2556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266700</xdr:colOff>
      <xdr:row>0</xdr:row>
      <xdr:rowOff>47625</xdr:rowOff>
    </xdr:from>
    <xdr:to>
      <xdr:col>1</xdr:col>
      <xdr:colOff>1581150</xdr:colOff>
      <xdr:row>1</xdr:row>
      <xdr:rowOff>238125</xdr:rowOff>
    </xdr:to>
    <xdr:sp fLocksText="0">
      <xdr:nvSpPr>
        <xdr:cNvPr id="5" name="ZoneTexte 8"/>
        <xdr:cNvSpPr txBox="1">
          <a:spLocks noChangeArrowheads="1"/>
        </xdr:cNvSpPr>
      </xdr:nvSpPr>
      <xdr:spPr>
        <a:xfrm>
          <a:off x="619125" y="47625"/>
          <a:ext cx="1314450" cy="381000"/>
        </a:xfrm>
        <a:prstGeom prst="rect">
          <a:avLst/>
        </a:prstGeom>
        <a:solidFill>
          <a:srgbClr val="C6D9F1"/>
        </a:solidFill>
        <a:ln w="9360" cmpd="sng">
          <a:solidFill>
            <a:srgbClr val="BCBCBC"/>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latin typeface="Calibri"/>
              <a:ea typeface="Calibri"/>
              <a:cs typeface="Calibri"/>
            </a:rPr>
            <a:t>Règles d'utilisation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66675</xdr:rowOff>
    </xdr:from>
    <xdr:to>
      <xdr:col>2</xdr:col>
      <xdr:colOff>1123950</xdr:colOff>
      <xdr:row>1</xdr:row>
      <xdr:rowOff>190500</xdr:rowOff>
    </xdr:to>
    <xdr:sp fLocksText="0">
      <xdr:nvSpPr>
        <xdr:cNvPr id="1" name="ZoneTexte 1"/>
        <xdr:cNvSpPr txBox="1">
          <a:spLocks noChangeArrowheads="1"/>
        </xdr:cNvSpPr>
      </xdr:nvSpPr>
      <xdr:spPr>
        <a:xfrm>
          <a:off x="552450" y="66675"/>
          <a:ext cx="1304925" cy="314325"/>
        </a:xfrm>
        <a:prstGeom prst="rect">
          <a:avLst/>
        </a:prstGeom>
        <a:solidFill>
          <a:srgbClr val="C6D9F1"/>
        </a:solidFill>
        <a:ln w="9360" cmpd="sng">
          <a:solidFill>
            <a:srgbClr val="BCBCBC"/>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latin typeface="Calibri"/>
              <a:ea typeface="Calibri"/>
              <a:cs typeface="Calibri"/>
            </a:rPr>
            <a:t>Règles d'utilisation</a:t>
          </a:r>
        </a:p>
      </xdr:txBody>
    </xdr:sp>
    <xdr:clientData/>
  </xdr:twoCellAnchor>
  <xdr:twoCellAnchor>
    <xdr:from>
      <xdr:col>2</xdr:col>
      <xdr:colOff>1038225</xdr:colOff>
      <xdr:row>18</xdr:row>
      <xdr:rowOff>123825</xdr:rowOff>
    </xdr:from>
    <xdr:to>
      <xdr:col>11</xdr:col>
      <xdr:colOff>333375</xdr:colOff>
      <xdr:row>31</xdr:row>
      <xdr:rowOff>180975</xdr:rowOff>
    </xdr:to>
    <xdr:sp>
      <xdr:nvSpPr>
        <xdr:cNvPr id="2" name="Rectangle 2"/>
        <xdr:cNvSpPr>
          <a:spLocks/>
        </xdr:cNvSpPr>
      </xdr:nvSpPr>
      <xdr:spPr>
        <a:xfrm>
          <a:off x="1771650" y="2981325"/>
          <a:ext cx="8829675" cy="2571750"/>
        </a:xfrm>
        <a:prstGeom prst="rect">
          <a:avLst/>
        </a:prstGeom>
        <a:noFill/>
        <a:ln w="2556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552450</xdr:colOff>
      <xdr:row>16</xdr:row>
      <xdr:rowOff>38100</xdr:rowOff>
    </xdr:from>
    <xdr:to>
      <xdr:col>9</xdr:col>
      <xdr:colOff>828675</xdr:colOff>
      <xdr:row>17</xdr:row>
      <xdr:rowOff>180975</xdr:rowOff>
    </xdr:to>
    <xdr:sp fLocksText="0">
      <xdr:nvSpPr>
        <xdr:cNvPr id="3" name="ZoneTexte 3"/>
        <xdr:cNvSpPr txBox="1">
          <a:spLocks noChangeArrowheads="1"/>
        </xdr:cNvSpPr>
      </xdr:nvSpPr>
      <xdr:spPr>
        <a:xfrm>
          <a:off x="2867025" y="2514600"/>
          <a:ext cx="6600825" cy="333375"/>
        </a:xfrm>
        <a:prstGeom prst="rect">
          <a:avLst/>
        </a:prstGeom>
        <a:solidFill>
          <a:srgbClr val="FFFFFF"/>
        </a:solidFill>
        <a:ln w="28440" cmpd="sng">
          <a:solidFill>
            <a:srgbClr val="002060"/>
          </a:solidFill>
          <a:headEnd type="none"/>
          <a:tailEnd type="none"/>
        </a:ln>
      </xdr:spPr>
      <xdr:txBody>
        <a:bodyPr vertOverflow="clip" wrap="square" lIns="90000" tIns="46800" rIns="90000" bIns="46800" anchor="ctr"/>
        <a:p>
          <a:pPr algn="ctr">
            <a:defRPr/>
          </a:pPr>
          <a:r>
            <a:rPr lang="en-US" cap="none" sz="1600" b="1" i="0" u="none" baseline="0">
              <a:solidFill>
                <a:srgbClr val="006411"/>
              </a:solidFill>
              <a:latin typeface="Calibri"/>
              <a:ea typeface="Calibri"/>
              <a:cs typeface="Calibri"/>
            </a:rPr>
            <a:t>Synthèse des résultats</a:t>
          </a:r>
        </a:p>
      </xdr:txBody>
    </xdr:sp>
    <xdr:clientData/>
  </xdr:twoCellAnchor>
  <xdr:twoCellAnchor>
    <xdr:from>
      <xdr:col>13</xdr:col>
      <xdr:colOff>428625</xdr:colOff>
      <xdr:row>0</xdr:row>
      <xdr:rowOff>28575</xdr:rowOff>
    </xdr:from>
    <xdr:to>
      <xdr:col>15</xdr:col>
      <xdr:colOff>590550</xdr:colOff>
      <xdr:row>2</xdr:row>
      <xdr:rowOff>114300</xdr:rowOff>
    </xdr:to>
    <xdr:sp fLocksText="0">
      <xdr:nvSpPr>
        <xdr:cNvPr id="4" name="ZoneTexte 4"/>
        <xdr:cNvSpPr txBox="1">
          <a:spLocks noChangeArrowheads="1"/>
        </xdr:cNvSpPr>
      </xdr:nvSpPr>
      <xdr:spPr>
        <a:xfrm>
          <a:off x="12125325" y="28575"/>
          <a:ext cx="1590675" cy="466725"/>
        </a:xfrm>
        <a:prstGeom prst="rect">
          <a:avLst/>
        </a:prstGeom>
        <a:solidFill>
          <a:srgbClr val="E6B9B8"/>
        </a:solidFill>
        <a:ln w="9360" cmpd="sng">
          <a:solidFill>
            <a:srgbClr val="BCBCBC"/>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latin typeface="Calibri"/>
              <a:ea typeface="Calibri"/>
              <a:cs typeface="Calibri"/>
            </a:rPr>
            <a:t>Aller à la version imprimable du tableau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28575</xdr:rowOff>
    </xdr:from>
    <xdr:to>
      <xdr:col>0</xdr:col>
      <xdr:colOff>1905000</xdr:colOff>
      <xdr:row>1</xdr:row>
      <xdr:rowOff>123825</xdr:rowOff>
    </xdr:to>
    <xdr:sp fLocksText="0">
      <xdr:nvSpPr>
        <xdr:cNvPr id="1" name="ZoneTexte 1"/>
        <xdr:cNvSpPr txBox="1">
          <a:spLocks noChangeArrowheads="1"/>
        </xdr:cNvSpPr>
      </xdr:nvSpPr>
      <xdr:spPr>
        <a:xfrm>
          <a:off x="600075" y="28575"/>
          <a:ext cx="1304925" cy="285750"/>
        </a:xfrm>
        <a:prstGeom prst="rect">
          <a:avLst/>
        </a:prstGeom>
        <a:solidFill>
          <a:srgbClr val="C6D9F1"/>
        </a:solidFill>
        <a:ln w="9360" cmpd="sng">
          <a:solidFill>
            <a:srgbClr val="BCBCBC"/>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latin typeface="Calibri"/>
              <a:ea typeface="Calibri"/>
              <a:cs typeface="Calibri"/>
            </a:rPr>
            <a:t>Règles d'utilisation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123825</xdr:rowOff>
    </xdr:from>
    <xdr:to>
      <xdr:col>2</xdr:col>
      <xdr:colOff>1514475</xdr:colOff>
      <xdr:row>2</xdr:row>
      <xdr:rowOff>123825</xdr:rowOff>
    </xdr:to>
    <xdr:sp fLocksText="0">
      <xdr:nvSpPr>
        <xdr:cNvPr id="1" name="ZoneTexte 1"/>
        <xdr:cNvSpPr txBox="1">
          <a:spLocks noChangeArrowheads="1"/>
        </xdr:cNvSpPr>
      </xdr:nvSpPr>
      <xdr:spPr>
        <a:xfrm>
          <a:off x="733425" y="123825"/>
          <a:ext cx="1476375" cy="504825"/>
        </a:xfrm>
        <a:prstGeom prst="rect">
          <a:avLst/>
        </a:prstGeom>
        <a:solidFill>
          <a:srgbClr val="C6D9F1"/>
        </a:solidFill>
        <a:ln w="9360" cmpd="sng">
          <a:solidFill>
            <a:srgbClr val="BCBCBC"/>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latin typeface="Calibri"/>
              <a:ea typeface="Calibri"/>
              <a:cs typeface="Calibri"/>
            </a:rPr>
            <a:t>Règles d'utilisation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23</xdr:col>
      <xdr:colOff>152400</xdr:colOff>
      <xdr:row>1</xdr:row>
      <xdr:rowOff>47625</xdr:rowOff>
    </xdr:to>
    <xdr:sp fLocksText="0">
      <xdr:nvSpPr>
        <xdr:cNvPr id="1" name="ZoneTexte 1"/>
        <xdr:cNvSpPr txBox="1">
          <a:spLocks noChangeArrowheads="1"/>
        </xdr:cNvSpPr>
      </xdr:nvSpPr>
      <xdr:spPr>
        <a:xfrm>
          <a:off x="7620000" y="0"/>
          <a:ext cx="1295400" cy="323850"/>
        </a:xfrm>
        <a:prstGeom prst="rect">
          <a:avLst/>
        </a:prstGeom>
        <a:solidFill>
          <a:srgbClr val="C6D9F1"/>
        </a:solidFill>
        <a:ln w="9360" cmpd="sng">
          <a:solidFill>
            <a:srgbClr val="BCBCBC"/>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latin typeface="Calibri"/>
              <a:ea typeface="Calibri"/>
              <a:cs typeface="Calibri"/>
            </a:rPr>
            <a:t>Règles d'utilisation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0</xdr:row>
      <xdr:rowOff>114300</xdr:rowOff>
    </xdr:from>
    <xdr:to>
      <xdr:col>9</xdr:col>
      <xdr:colOff>657225</xdr:colOff>
      <xdr:row>3</xdr:row>
      <xdr:rowOff>66675</xdr:rowOff>
    </xdr:to>
    <xdr:sp fLocksText="0">
      <xdr:nvSpPr>
        <xdr:cNvPr id="1" name="ZoneTexte 2"/>
        <xdr:cNvSpPr txBox="1">
          <a:spLocks noChangeArrowheads="1"/>
        </xdr:cNvSpPr>
      </xdr:nvSpPr>
      <xdr:spPr>
        <a:xfrm>
          <a:off x="7581900" y="114300"/>
          <a:ext cx="1809750" cy="523875"/>
        </a:xfrm>
        <a:prstGeom prst="rect">
          <a:avLst/>
        </a:prstGeom>
        <a:solidFill>
          <a:srgbClr val="E6B9B8"/>
        </a:solidFill>
        <a:ln w="9360" cmpd="sng">
          <a:solidFill>
            <a:srgbClr val="BCBCBC"/>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latin typeface="Calibri"/>
              <a:ea typeface="Calibri"/>
              <a:cs typeface="Calibri"/>
            </a:rPr>
            <a:t>Retour 
"Consommation appareils"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1666875</xdr:colOff>
      <xdr:row>36</xdr:row>
      <xdr:rowOff>180975</xdr:rowOff>
    </xdr:from>
    <xdr:to>
      <xdr:col>3</xdr:col>
      <xdr:colOff>28575</xdr:colOff>
      <xdr:row>38</xdr:row>
      <xdr:rowOff>38100</xdr:rowOff>
    </xdr:to>
    <xdr:sp>
      <xdr:nvSpPr>
        <xdr:cNvPr id="1" name="Ellipse 2"/>
        <xdr:cNvSpPr>
          <a:spLocks/>
        </xdr:cNvSpPr>
      </xdr:nvSpPr>
      <xdr:spPr>
        <a:xfrm>
          <a:off x="1666875" y="8610600"/>
          <a:ext cx="1781175" cy="238125"/>
        </a:xfrm>
        <a:prstGeom prst="ellipse">
          <a:avLst/>
        </a:prstGeom>
        <a:solidFill>
          <a:srgbClr val="C0504D"/>
        </a:solidFill>
        <a:ln w="25560" cmpd="sng">
          <a:solidFill>
            <a:srgbClr val="8C383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38</xdr:row>
      <xdr:rowOff>180975</xdr:rowOff>
    </xdr:from>
    <xdr:to>
      <xdr:col>3</xdr:col>
      <xdr:colOff>9525</xdr:colOff>
      <xdr:row>40</xdr:row>
      <xdr:rowOff>38100</xdr:rowOff>
    </xdr:to>
    <xdr:sp>
      <xdr:nvSpPr>
        <xdr:cNvPr id="2" name="Ellipse 3"/>
        <xdr:cNvSpPr>
          <a:spLocks/>
        </xdr:cNvSpPr>
      </xdr:nvSpPr>
      <xdr:spPr>
        <a:xfrm>
          <a:off x="1704975" y="8991600"/>
          <a:ext cx="1724025" cy="238125"/>
        </a:xfrm>
        <a:prstGeom prst="ellipse">
          <a:avLst/>
        </a:prstGeom>
        <a:solidFill>
          <a:srgbClr val="C0504D"/>
        </a:solidFill>
        <a:ln w="25560" cmpd="sng">
          <a:solidFill>
            <a:srgbClr val="8C383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247650</xdr:colOff>
      <xdr:row>5</xdr:row>
      <xdr:rowOff>9525</xdr:rowOff>
    </xdr:from>
    <xdr:to>
      <xdr:col>11</xdr:col>
      <xdr:colOff>514350</xdr:colOff>
      <xdr:row>13</xdr:row>
      <xdr:rowOff>76200</xdr:rowOff>
    </xdr:to>
    <xdr:sp>
      <xdr:nvSpPr>
        <xdr:cNvPr id="3" name="Ellipse 5"/>
        <xdr:cNvSpPr>
          <a:spLocks/>
        </xdr:cNvSpPr>
      </xdr:nvSpPr>
      <xdr:spPr>
        <a:xfrm>
          <a:off x="5953125" y="1600200"/>
          <a:ext cx="7905750" cy="1590675"/>
        </a:xfrm>
        <a:prstGeom prst="ellipse">
          <a:avLst/>
        </a:prstGeom>
        <a:noFill/>
        <a:ln w="2556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1581150</xdr:colOff>
      <xdr:row>7</xdr:row>
      <xdr:rowOff>142875</xdr:rowOff>
    </xdr:from>
    <xdr:to>
      <xdr:col>2</xdr:col>
      <xdr:colOff>133350</xdr:colOff>
      <xdr:row>9</xdr:row>
      <xdr:rowOff>47625</xdr:rowOff>
    </xdr:to>
    <xdr:sp>
      <xdr:nvSpPr>
        <xdr:cNvPr id="4" name="Ellipse 6"/>
        <xdr:cNvSpPr>
          <a:spLocks/>
        </xdr:cNvSpPr>
      </xdr:nvSpPr>
      <xdr:spPr>
        <a:xfrm>
          <a:off x="1581150" y="2114550"/>
          <a:ext cx="1162050" cy="285750"/>
        </a:xfrm>
        <a:prstGeom prst="ellipse">
          <a:avLst/>
        </a:prstGeom>
        <a:noFill/>
        <a:ln w="2556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133350</xdr:colOff>
      <xdr:row>8</xdr:row>
      <xdr:rowOff>104775</xdr:rowOff>
    </xdr:from>
    <xdr:to>
      <xdr:col>6</xdr:col>
      <xdr:colOff>247650</xdr:colOff>
      <xdr:row>9</xdr:row>
      <xdr:rowOff>38100</xdr:rowOff>
    </xdr:to>
    <xdr:sp>
      <xdr:nvSpPr>
        <xdr:cNvPr id="5" name="Connecteur droit avec flèche 8"/>
        <xdr:cNvSpPr>
          <a:spLocks/>
        </xdr:cNvSpPr>
      </xdr:nvSpPr>
      <xdr:spPr>
        <a:xfrm>
          <a:off x="2743200" y="2266950"/>
          <a:ext cx="3209925" cy="123825"/>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1971675</xdr:colOff>
      <xdr:row>0</xdr:row>
      <xdr:rowOff>38100</xdr:rowOff>
    </xdr:from>
    <xdr:to>
      <xdr:col>7</xdr:col>
      <xdr:colOff>3267075</xdr:colOff>
      <xdr:row>0</xdr:row>
      <xdr:rowOff>361950</xdr:rowOff>
    </xdr:to>
    <xdr:sp fLocksText="0">
      <xdr:nvSpPr>
        <xdr:cNvPr id="6" name="ZoneTexte 13"/>
        <xdr:cNvSpPr txBox="1">
          <a:spLocks noChangeArrowheads="1"/>
        </xdr:cNvSpPr>
      </xdr:nvSpPr>
      <xdr:spPr>
        <a:xfrm>
          <a:off x="8439150" y="38100"/>
          <a:ext cx="1295400" cy="333375"/>
        </a:xfrm>
        <a:prstGeom prst="rect">
          <a:avLst/>
        </a:prstGeom>
        <a:solidFill>
          <a:srgbClr val="C6D9F1"/>
        </a:solidFill>
        <a:ln w="9360" cmpd="sng">
          <a:solidFill>
            <a:srgbClr val="BCBCBC"/>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latin typeface="Calibri"/>
              <a:ea typeface="Calibri"/>
              <a:cs typeface="Calibri"/>
            </a:rPr>
            <a:t>Règles d'utilisation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0</xdr:col>
      <xdr:colOff>1343025</xdr:colOff>
      <xdr:row>1</xdr:row>
      <xdr:rowOff>114300</xdr:rowOff>
    </xdr:to>
    <xdr:sp fLocksText="0">
      <xdr:nvSpPr>
        <xdr:cNvPr id="1" name="ZoneTexte 2"/>
        <xdr:cNvSpPr txBox="1">
          <a:spLocks noChangeArrowheads="1"/>
        </xdr:cNvSpPr>
      </xdr:nvSpPr>
      <xdr:spPr>
        <a:xfrm>
          <a:off x="28575" y="76200"/>
          <a:ext cx="1314450" cy="352425"/>
        </a:xfrm>
        <a:prstGeom prst="rect">
          <a:avLst/>
        </a:prstGeom>
        <a:solidFill>
          <a:srgbClr val="C6D9F1"/>
        </a:solidFill>
        <a:ln w="9360" cmpd="sng">
          <a:solidFill>
            <a:srgbClr val="BCBCBC"/>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latin typeface="Calibri"/>
              <a:ea typeface="Calibri"/>
              <a:cs typeface="Calibri"/>
            </a:rPr>
            <a:t>Règles d'utilisation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mailto:infoenergie.caue16@orange.fr" TargetMode="External" /><Relationship Id="rId2"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Feuil6"/>
  <dimension ref="B3:I35"/>
  <sheetViews>
    <sheetView showGridLines="0" workbookViewId="0" topLeftCell="A1">
      <selection activeCell="F9" sqref="F9"/>
    </sheetView>
  </sheetViews>
  <sheetFormatPr defaultColWidth="11.421875" defaultRowHeight="15"/>
  <cols>
    <col min="1" max="1" width="23.8515625" style="0" customWidth="1"/>
    <col min="2" max="2" width="39.00390625" style="0" customWidth="1"/>
    <col min="3" max="3" width="46.00390625" style="0" customWidth="1"/>
    <col min="4" max="4" width="12.28125" style="0" customWidth="1"/>
  </cols>
  <sheetData>
    <row r="3" ht="26.25">
      <c r="D3" s="1" t="s">
        <v>751</v>
      </c>
    </row>
    <row r="9" ht="24.75">
      <c r="B9" s="2" t="s">
        <v>752</v>
      </c>
    </row>
    <row r="10" ht="18.75">
      <c r="B10" s="3"/>
    </row>
    <row r="11" spans="2:9" s="4" customFormat="1" ht="44.25" customHeight="1">
      <c r="B11" s="473" t="s">
        <v>753</v>
      </c>
      <c r="C11" s="473"/>
      <c r="D11" s="5"/>
      <c r="E11" s="5"/>
      <c r="F11" s="5"/>
      <c r="G11" s="5"/>
      <c r="H11" s="5"/>
      <c r="I11" s="5"/>
    </row>
    <row r="12" spans="2:9" ht="68.25" customHeight="1">
      <c r="B12" s="474" t="s">
        <v>754</v>
      </c>
      <c r="C12" s="474"/>
      <c r="D12" s="5"/>
      <c r="E12" s="5"/>
      <c r="F12" s="5"/>
      <c r="G12" s="5"/>
      <c r="H12" s="5"/>
      <c r="I12" s="5"/>
    </row>
    <row r="13" spans="2:9" ht="78.75" customHeight="1">
      <c r="B13" s="474" t="s">
        <v>755</v>
      </c>
      <c r="C13" s="474"/>
      <c r="D13" s="5"/>
      <c r="E13" s="5"/>
      <c r="F13" s="5"/>
      <c r="G13" s="5"/>
      <c r="H13" s="5"/>
      <c r="I13" s="5"/>
    </row>
    <row r="14" spans="2:9" ht="46.5" customHeight="1">
      <c r="B14" s="474" t="s">
        <v>756</v>
      </c>
      <c r="C14" s="474"/>
      <c r="D14" s="5"/>
      <c r="E14" s="5"/>
      <c r="F14" s="5"/>
      <c r="G14" s="5"/>
      <c r="H14" s="5"/>
      <c r="I14" s="5"/>
    </row>
    <row r="15" spans="2:9" ht="60.75" customHeight="1">
      <c r="B15" s="474" t="s">
        <v>757</v>
      </c>
      <c r="C15" s="474"/>
      <c r="D15" s="5"/>
      <c r="E15" s="6"/>
      <c r="F15" s="5"/>
      <c r="G15" s="5"/>
      <c r="H15" s="5"/>
      <c r="I15" s="5"/>
    </row>
    <row r="16" spans="2:9" ht="15">
      <c r="B16" s="4"/>
      <c r="C16" s="4"/>
      <c r="D16" s="4"/>
      <c r="E16" s="4"/>
      <c r="F16" s="4"/>
      <c r="G16" s="4"/>
      <c r="H16" s="4"/>
      <c r="I16" s="4"/>
    </row>
    <row r="18" ht="24.75">
      <c r="B18" s="2" t="s">
        <v>758</v>
      </c>
    </row>
    <row r="20" ht="15.75">
      <c r="B20" s="7" t="s">
        <v>759</v>
      </c>
    </row>
    <row r="21" ht="15">
      <c r="B21" t="s">
        <v>760</v>
      </c>
    </row>
    <row r="22" ht="15">
      <c r="B22" t="s">
        <v>761</v>
      </c>
    </row>
    <row r="24" ht="15.75">
      <c r="B24" s="7" t="s">
        <v>762</v>
      </c>
    </row>
    <row r="25" ht="15">
      <c r="B25" t="s">
        <v>760</v>
      </c>
    </row>
    <row r="26" ht="15">
      <c r="B26" t="s">
        <v>763</v>
      </c>
    </row>
    <row r="28" ht="15.75">
      <c r="B28" s="7" t="s">
        <v>764</v>
      </c>
    </row>
    <row r="29" ht="15">
      <c r="B29" t="s">
        <v>760</v>
      </c>
    </row>
    <row r="31" spans="2:3" ht="45" customHeight="1">
      <c r="B31" s="475" t="s">
        <v>765</v>
      </c>
      <c r="C31" s="475"/>
    </row>
    <row r="33" ht="24.75">
      <c r="B33" s="2"/>
    </row>
    <row r="35" ht="15">
      <c r="B35" s="9"/>
    </row>
  </sheetData>
  <sheetProtection selectLockedCells="1" selectUnlockedCells="1"/>
  <mergeCells count="6">
    <mergeCell ref="B15:C15"/>
    <mergeCell ref="B31:C31"/>
    <mergeCell ref="B11:C11"/>
    <mergeCell ref="B12:C12"/>
    <mergeCell ref="B13:C13"/>
    <mergeCell ref="B14:C14"/>
  </mergeCells>
  <hyperlinks>
    <hyperlink ref="D3" location="Contacts!A1" display="Contacts"/>
  </hyperlinks>
  <printOptions/>
  <pageMargins left="0.4798611111111111" right="0.4201388888888889" top="0.75" bottom="0.75" header="0.5118055555555555" footer="0.5118055555555555"/>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dimension ref="B1:C9"/>
  <sheetViews>
    <sheetView showGridLines="0" workbookViewId="0" topLeftCell="A1">
      <selection activeCell="I12" sqref="I12"/>
    </sheetView>
  </sheetViews>
  <sheetFormatPr defaultColWidth="11.421875" defaultRowHeight="15"/>
  <cols>
    <col min="1" max="1" width="29.28125" style="0" customWidth="1"/>
  </cols>
  <sheetData>
    <row r="1" ht="24.75">
      <c r="B1" s="2" t="s">
        <v>40</v>
      </c>
    </row>
    <row r="2" ht="16.5" customHeight="1">
      <c r="B2" s="2"/>
    </row>
    <row r="3" ht="15">
      <c r="B3" t="s">
        <v>41</v>
      </c>
    </row>
    <row r="5" ht="18">
      <c r="B5" s="471" t="s">
        <v>42</v>
      </c>
    </row>
    <row r="6" ht="15">
      <c r="B6" t="s">
        <v>43</v>
      </c>
    </row>
    <row r="7" ht="15">
      <c r="B7" t="s">
        <v>44</v>
      </c>
    </row>
    <row r="8" spans="2:3" ht="15">
      <c r="B8" t="s">
        <v>45</v>
      </c>
      <c r="C8" t="s">
        <v>46</v>
      </c>
    </row>
    <row r="9" spans="2:3" ht="15">
      <c r="B9" t="s">
        <v>47</v>
      </c>
      <c r="C9" s="472" t="s">
        <v>48</v>
      </c>
    </row>
  </sheetData>
  <sheetProtection selectLockedCells="1" selectUnlockedCells="1"/>
  <hyperlinks>
    <hyperlink ref="C9" r:id="rId1" display="infoenergie.caue16@orange.fr "/>
  </hyperlinks>
  <printOptions/>
  <pageMargins left="0.7" right="0.7" top="0.75" bottom="0.75" header="0.5118055555555555" footer="0.5118055555555555"/>
  <pageSetup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sheetPr codeName="Feuil2">
    <pageSetUpPr fitToPage="1"/>
  </sheetPr>
  <dimension ref="B4:S41"/>
  <sheetViews>
    <sheetView showGridLines="0" tabSelected="1" workbookViewId="0" topLeftCell="A1">
      <pane ySplit="2" topLeftCell="BM3" activePane="bottomLeft" state="frozen"/>
      <selection pane="topLeft" activeCell="A1" sqref="A1"/>
      <selection pane="bottomLeft" activeCell="C12" sqref="C12"/>
    </sheetView>
  </sheetViews>
  <sheetFormatPr defaultColWidth="11.421875" defaultRowHeight="15"/>
  <cols>
    <col min="1" max="1" width="5.28125" style="0" customWidth="1"/>
    <col min="2" max="2" width="32.8515625" style="0" customWidth="1"/>
    <col min="3" max="3" width="45.00390625" style="0" customWidth="1"/>
    <col min="4" max="4" width="15.00390625" style="0" customWidth="1"/>
    <col min="5" max="5" width="13.8515625" style="0" customWidth="1"/>
    <col min="6" max="6" width="7.140625" style="0" customWidth="1"/>
    <col min="7" max="7" width="6.421875" style="0" customWidth="1"/>
    <col min="8" max="8" width="32.8515625" style="10" customWidth="1"/>
    <col min="9" max="9" width="17.28125" style="0" customWidth="1"/>
    <col min="10" max="10" width="20.140625" style="0" customWidth="1"/>
    <col min="11" max="11" width="19.421875" style="0" customWidth="1"/>
    <col min="12" max="12" width="21.28125" style="0" customWidth="1"/>
    <col min="13" max="13" width="14.421875" style="0" customWidth="1"/>
    <col min="14" max="18" width="0" style="0" hidden="1" customWidth="1"/>
    <col min="19" max="19" width="41.00390625" style="0" customWidth="1"/>
  </cols>
  <sheetData>
    <row r="2" ht="23.25" customHeight="1"/>
    <row r="4" spans="3:11" ht="25.5">
      <c r="C4" s="11" t="s">
        <v>766</v>
      </c>
      <c r="H4" s="476" t="s">
        <v>767</v>
      </c>
      <c r="I4" s="476"/>
      <c r="J4" s="476"/>
      <c r="K4" s="476"/>
    </row>
    <row r="6" spans="6:9" ht="15">
      <c r="F6" s="12"/>
      <c r="H6" s="13"/>
      <c r="I6" s="14" t="s">
        <v>768</v>
      </c>
    </row>
    <row r="7" spans="2:11" ht="15">
      <c r="B7" s="15" t="s">
        <v>769</v>
      </c>
      <c r="C7" s="16"/>
      <c r="D7" s="17"/>
      <c r="E7" s="18"/>
      <c r="F7" s="18"/>
      <c r="H7" s="19" t="s">
        <v>770</v>
      </c>
      <c r="I7" s="20"/>
      <c r="J7" s="18"/>
      <c r="K7" s="18"/>
    </row>
    <row r="8" spans="2:11" ht="15">
      <c r="B8" s="15" t="s">
        <v>771</v>
      </c>
      <c r="C8" s="16">
        <v>4</v>
      </c>
      <c r="D8" s="17">
        <f>IF(SUM('Consommation appareils'!H5:H11)&lt;&gt;C8,"Attention, incohérence avec le nombre de personnes indiqué sur la feuille Consommation appareils","")</f>
      </c>
      <c r="E8" s="21"/>
      <c r="F8" s="18"/>
      <c r="H8" s="22"/>
      <c r="I8" s="23"/>
      <c r="J8" s="23"/>
      <c r="K8" s="23"/>
    </row>
    <row r="9" spans="2:11" ht="15">
      <c r="B9" s="558" t="s">
        <v>49</v>
      </c>
      <c r="C9" s="24"/>
      <c r="D9" s="25"/>
      <c r="E9" s="18"/>
      <c r="F9" s="18"/>
      <c r="H9" s="26" t="s">
        <v>773</v>
      </c>
      <c r="I9" s="14" t="s">
        <v>774</v>
      </c>
      <c r="J9" s="14" t="s">
        <v>775</v>
      </c>
      <c r="K9" s="14" t="s">
        <v>776</v>
      </c>
    </row>
    <row r="10" spans="2:11" ht="15">
      <c r="B10" s="15" t="s">
        <v>777</v>
      </c>
      <c r="C10" s="27"/>
      <c r="D10" s="28"/>
      <c r="E10" s="23"/>
      <c r="F10" s="18"/>
      <c r="H10" s="477" t="s">
        <v>778</v>
      </c>
      <c r="I10" s="20"/>
      <c r="J10" s="13" t="str">
        <f>IF(OR(C12="électricité",C15="électricité"),"kWh heures pleines","kWh")</f>
        <v>kWh</v>
      </c>
      <c r="K10" s="29">
        <f>I10</f>
        <v>0</v>
      </c>
    </row>
    <row r="11" spans="2:11" ht="15" customHeight="1">
      <c r="B11" s="15" t="s">
        <v>779</v>
      </c>
      <c r="C11" s="24">
        <f>IF(C7="Maison","12",IF(C7="Appartement","9",""))</f>
      </c>
      <c r="D11" s="478" t="s">
        <v>780</v>
      </c>
      <c r="E11" s="478"/>
      <c r="F11" s="18"/>
      <c r="G11" s="10"/>
      <c r="H11" s="477"/>
      <c r="I11" s="20"/>
      <c r="J11" s="13">
        <f>IF(OR(C12="électricité",C15="électricité"),"kWh heures creuses","")</f>
      </c>
      <c r="K11" s="29" t="str">
        <f>IF(J11=""," ",I11)</f>
        <v> </v>
      </c>
    </row>
    <row r="12" spans="2:11" ht="15">
      <c r="B12" s="15" t="s">
        <v>781</v>
      </c>
      <c r="C12" s="30"/>
      <c r="D12" s="31" t="str">
        <f>IF(ISBLANK(C12)," ",IF(C12="électricité",VLOOKUP("elec HP",'Bases calculs conso habitat '!$A$2:$B$10,2)&amp;" "&amp;"HP",VLOOKUP(C12,'Bases calculs conso habitat '!$A$2:$B$10,2)))</f>
        <v> </v>
      </c>
      <c r="E12" s="31">
        <f>IF(C12="électricité",VLOOKUP("elec HC",'Bases calculs conso habitat '!$A$2:$B$7,2)&amp;" "&amp;"HC","")</f>
      </c>
      <c r="F12" s="32"/>
      <c r="G12" s="10"/>
      <c r="H12" s="13" t="str">
        <f>IF(ISBLANK(C12)," ",IF(C12="électricité","",C12))</f>
        <v> </v>
      </c>
      <c r="I12" s="20"/>
      <c r="J12" s="13">
        <f>IF(OR(H12="électricité",H12="gaz nat"),"kWh",IF(H12="fioul","litres",IF(H12="Citerne gaz (propane)","kg",IF(H12="Bouteille gaz","bouteilles",IF(H12="Bois bûche","stères",IF(H12="pétrole","litres",""))))))</f>
      </c>
      <c r="K12" s="29">
        <f>IF(ISBLANK(H12)," ",IF(OR(H12="électricité",H12="gaz nat"),I12,IF(H12="fioul",I12*9.95,IF(H12="Citerne gaz (propane)",I12*12.8,IF(H12="Bouteille gaz",I12*13*12.8,IF(H12="Bois bûche",I12*1680,IF(H12="pétrole",I12*9.95,"")))))))</f>
      </c>
    </row>
    <row r="13" spans="2:11" ht="15">
      <c r="B13" s="33" t="s">
        <v>782</v>
      </c>
      <c r="C13" s="30"/>
      <c r="D13" s="34" t="str">
        <f>IF(ISBLANK(C13)," ",IF(OR(AND(C13="électricité",C15="électricité"),AND(C13="électricité",C12="électricité")),VLOOKUP("elec HP",'Bases calculs conso habitat '!$A$2:$B$10,2)&amp;" "&amp;"HP",IF(AND(C13="électricité",C15&lt;&gt;"électricité",C12&lt;&gt;"électricité"),VLOOKUP("elec simple t.",'Bases calculs conso habitat '!$A$2:$B$10,2),VLOOKUP(C13,'Bases calculs conso habitat '!$A$2:$B$10,2))))</f>
        <v> </v>
      </c>
      <c r="E13" s="34">
        <f>IF(OR(AND(C13="électricité",C15="électricité"),AND(C13="électricité",C12="électricité")),VLOOKUP("elec HC",'Bases calculs conso habitat '!$A$2:$B$7,2)&amp;" "&amp;"HC","")</f>
      </c>
      <c r="F13" s="32"/>
      <c r="G13" s="10"/>
      <c r="H13" s="13" t="str">
        <f>IF(OR(ISBLANK(C13),C13="électricité",C13=C15)," ",C13)</f>
        <v> </v>
      </c>
      <c r="I13" s="20"/>
      <c r="J13" s="13">
        <f>IF(OR(H13="électricité",H13="gaz nat"),"kWh",IF(H13="fioul","litres",IF(H13="Citerne gaz (propane)","kg",IF(H13="Bouteille gaz","bouteilles",IF(H13="Bois bûche","stères",IF(H13="pétrole","litres",""))))))</f>
      </c>
      <c r="K13" s="35" t="str">
        <f>IF(OR(H13="électricité",H13="gaz nat"),I13,IF(H13="fioul",I13*9.95,IF(H13="Citerne gaz (propane)",I13*12.8,IF(H13="Bouteille gaz",I13*13*12.8,IF(H13="Bois bûche",I13*1680,IF(H13="pétrole",I13*9.95,"0"))))))</f>
        <v>0</v>
      </c>
    </row>
    <row r="14" spans="2:11" ht="15">
      <c r="B14" s="33" t="s">
        <v>782</v>
      </c>
      <c r="C14" s="30"/>
      <c r="D14" s="34" t="str">
        <f>IF(ISBLANK(C14)," ",IF(OR(AND(C14="électricité",C15="électricité"),AND(C14="électricité",C12="électricité")),VLOOKUP("elec HP",'Bases calculs conso habitat '!$A$2:$B$10,2)&amp;" "&amp;"HP",IF(AND(C14="électricité",C15&lt;&gt;"électricité",C12&lt;&gt;"électricité"),VLOOKUP("elec simple t.",'Bases calculs conso habitat '!$A$2:$B$10,2),VLOOKUP(C14,'Bases calculs conso habitat '!$A$2:$B$10,2))))</f>
        <v> </v>
      </c>
      <c r="E14" s="34">
        <f>IF(OR(AND(C14="électricité",C15="électricité"),AND(C14="électricité",C12="électricité")),VLOOKUP("elec HC",'Bases calculs conso habitat '!$A$2:$B$7,2)&amp;" "&amp;"HC","")</f>
      </c>
      <c r="F14" s="32"/>
      <c r="G14" s="10"/>
      <c r="H14" s="13" t="str">
        <f>IF(OR(ISBLANK(C14),C14="électricité",C14=C15)," ",C14)</f>
        <v> </v>
      </c>
      <c r="I14" s="20"/>
      <c r="J14" s="13">
        <f>IF(OR(H14="électricité",H14="gaz nat"),"kWh",IF(H14="fioul","litres",IF(H14="Citerne gaz (propane)","kg",IF(H14="Bouteille gaz","bouteilles",IF(H14="Bois bûche","stères",IF(H14="pétrole","litres",""))))))</f>
      </c>
      <c r="K14" s="35" t="str">
        <f>IF(OR(H14="électricité",H14="gaz nat"),I14,IF(H14="fioul",I14*9.95,IF(H14="Citerne gaz (propane)",I14*12.8,IF(H14="Bouteille gaz",I14*13*12.8,IF(H14="Bois bûche",I14*1680,IF(H14="pétrole",I14*9.95,"0"))))))</f>
        <v>0</v>
      </c>
    </row>
    <row r="15" spans="2:11" ht="15">
      <c r="B15" s="15" t="s">
        <v>783</v>
      </c>
      <c r="C15" s="30"/>
      <c r="D15" s="31" t="str">
        <f>IF(ISBLANK(C15)," ",IF(C15="électricité",VLOOKUP("elec HP",'Bases calculs conso habitat '!$A$2:$B$9,2)&amp;" "&amp;"HP",VLOOKUP(C15,'Bases calculs conso habitat '!$A$2:$B$9,2)))</f>
        <v> </v>
      </c>
      <c r="E15" s="31">
        <f>IF(C15="électricité",VLOOKUP("elec HC",'Bases calculs conso habitat '!$A$2:$B$9,2)&amp;" "&amp;"HC","")</f>
      </c>
      <c r="F15" s="32"/>
      <c r="G15" s="10"/>
      <c r="H15" s="13" t="str">
        <f>IF(OR(ISBLANK(C15),C15="électricité",C15=C12)," ",C15)</f>
        <v> </v>
      </c>
      <c r="I15" s="20"/>
      <c r="J15" s="13">
        <f>IF(OR(H15="électricité",H15="gaz nat"),"kWh",IF(H15="fioul","litres",IF(H15="Citerne gaz (propane)","kg",IF(H15="Bouteille gaz","bouteilles",IF(H15="Bois bûche","stères",IF(H15="pétrole","litres",""))))))</f>
      </c>
      <c r="K15" s="29">
        <f>IF(ISBLANK(H15)," ",IF(OR(H15="électricité",H15="gaz nat"),I15,IF(H15="fioul",I15*9.95,IF(H15="Citerne gaz (propane)",I15*12.8,IF(H15="Bouteille gaz",I15*13*12.8,IF(H15="Bois bûche",I15*1680,IF(H15="pétrole",I15*9.95,"")))))))</f>
      </c>
    </row>
    <row r="16" spans="2:11" ht="15">
      <c r="B16" s="15" t="s">
        <v>784</v>
      </c>
      <c r="C16" s="30"/>
      <c r="D16" s="34" t="str">
        <f>IF(ISBLANK(C16)," ",IF(OR(AND(C16="électricité",C15="électricité"),AND(C16="électricité",C12="électricité")),VLOOKUP("elec HP",'Bases calculs conso habitat '!$A$2:$B$10,2)&amp;" "&amp;"HP",IF(AND(C16="électricité",C15&lt;&gt;"électricité",C12&lt;&gt;"électricité"),VLOOKUP("elec simple t.",'Bases calculs conso habitat '!$A$2:$B$10,2),VLOOKUP(C16,'Bases calculs conso habitat '!$A$2:$B$10,2))))</f>
        <v> </v>
      </c>
      <c r="E16" s="31">
        <f>IF(OR(AND(C16="électricité",C15="électricité"),AND(C16="électricité",C12="électricité")),VLOOKUP("elec HC",'Bases calculs conso habitat '!$A$2:$B$9,2)&amp;" "&amp;"HC","")</f>
      </c>
      <c r="H16" s="13">
        <f>IF(OR(ISBLANK(C16),C16="électricité",C16=C15,C16=C12,C16=C13),"",C16)</f>
      </c>
      <c r="I16" s="20"/>
      <c r="J16" s="13">
        <f>IF(OR(H16="électricité",H16="gaz nat"),"kWh",IF(H16="fioul","litres",IF(H16="Citerne gaz (propane)","kg",IF(H16="Bouteille gaz","bouteilles",IF(H16="Bois bûche","stères",IF(H16="pétrole","litres",""))))))</f>
      </c>
      <c r="K16" s="29">
        <f>IF(ISBLANK(H16)," ",IF(OR(H16="électricité",H16="gaz nat"),I16,IF(H16="fioul",I16*9.95,IF(H16="Citerne gaz (propane)",I16*12.8,IF(H16="Bouteille gaz",I16*13*12.8,IF(H16="Bois bûche",I16*1680,IF(H16="pétrole",I16*9.95,"")))))))</f>
      </c>
    </row>
    <row r="17" spans="3:11" ht="15">
      <c r="C17" s="36"/>
      <c r="H17" s="37" t="s">
        <v>785</v>
      </c>
      <c r="I17" s="37"/>
      <c r="J17" s="37"/>
      <c r="K17" s="38">
        <f>SUM(K10:K16)</f>
        <v>0</v>
      </c>
    </row>
    <row r="18" spans="6:7" ht="15">
      <c r="F18" s="39"/>
      <c r="G18" s="39"/>
    </row>
    <row r="19" spans="2:7" ht="15">
      <c r="B19" s="39"/>
      <c r="C19" s="39"/>
      <c r="D19" s="39"/>
      <c r="E19" s="39"/>
      <c r="F19" s="39"/>
      <c r="G19" s="39"/>
    </row>
    <row r="20" spans="2:7" ht="15">
      <c r="B20" s="39"/>
      <c r="C20" s="39"/>
      <c r="D20" s="39"/>
      <c r="E20" s="39"/>
      <c r="F20" s="39"/>
      <c r="G20" s="39"/>
    </row>
    <row r="21" spans="2:8" ht="15">
      <c r="B21" s="39"/>
      <c r="C21" s="39"/>
      <c r="D21" s="39"/>
      <c r="E21" s="39"/>
      <c r="F21" s="39"/>
      <c r="G21" s="39"/>
      <c r="H21" s="40"/>
    </row>
    <row r="22" spans="2:8" ht="15">
      <c r="B22" s="39"/>
      <c r="C22" s="39"/>
      <c r="D22" s="39"/>
      <c r="E22" s="39"/>
      <c r="F22" s="39"/>
      <c r="G22" s="39"/>
      <c r="H22" s="40"/>
    </row>
    <row r="23" spans="2:13" ht="59.25" customHeight="1">
      <c r="B23" s="479" t="s">
        <v>786</v>
      </c>
      <c r="C23" s="479"/>
      <c r="D23" s="479"/>
      <c r="E23" s="39"/>
      <c r="F23" s="39"/>
      <c r="H23" s="480" t="s">
        <v>657</v>
      </c>
      <c r="I23" s="480"/>
      <c r="J23" s="480"/>
      <c r="K23" s="480"/>
      <c r="L23" s="480"/>
      <c r="M23" s="41"/>
    </row>
    <row r="24" spans="2:7" ht="18">
      <c r="B24" s="42"/>
      <c r="C24" s="42"/>
      <c r="D24" s="42"/>
      <c r="E24" s="39"/>
      <c r="F24" s="39"/>
      <c r="G24" s="39"/>
    </row>
    <row r="25" spans="2:18" ht="42.75" customHeight="1">
      <c r="B25" s="43" t="s">
        <v>658</v>
      </c>
      <c r="C25" s="44" t="s">
        <v>659</v>
      </c>
      <c r="D25" s="45" t="s">
        <v>660</v>
      </c>
      <c r="E25" s="39"/>
      <c r="F25" s="39"/>
      <c r="G25" s="39"/>
      <c r="H25" s="46" t="s">
        <v>661</v>
      </c>
      <c r="I25" s="481" t="s">
        <v>662</v>
      </c>
      <c r="J25" s="481"/>
      <c r="K25" s="481" t="s">
        <v>663</v>
      </c>
      <c r="L25" s="481"/>
      <c r="N25" s="46" t="s">
        <v>661</v>
      </c>
      <c r="O25" s="481" t="s">
        <v>662</v>
      </c>
      <c r="P25" s="481"/>
      <c r="Q25" s="481" t="s">
        <v>663</v>
      </c>
      <c r="R25" s="481"/>
    </row>
    <row r="26" spans="2:19" ht="84.75" customHeight="1">
      <c r="B26" s="47" t="s">
        <v>664</v>
      </c>
      <c r="C26" s="48">
        <f>IF(AND(C7="Maison",C10="Pas d'isolation"),'Bases calculs conso habitat '!B19*C9,IF(AND(C7="Maison",C10="Isolation de la toiture (ou espace chauffé au-dessus)"),'Bases calculs conso habitat '!B20*C9,IF(AND(C7="Maison",C10="Isolation de la toiture (ou espace chauffé au-dessus) et isolation des murs"),'Bases calculs conso habitat '!B21*C9,IF(AND(C7="Maison",C10="Isolation de la toiture et fenêtre double vitrage"),'Bases calculs conso habitat '!B22*C9,IF(AND(C7="Appartement",C10="Pas d'isolation"),'Bases calculs conso habitat '!C19*C9,IF(AND(C7="Appartement",C10="Isolation de la toiture (ou espace chauffé au-dessus)"),'Bases calculs conso habitat '!C20*C9,IF(AND(C7="Appartement",C10="Isolation de la toiture (ou espace chauffé au-dessus) et isolation des murs"),'Bases calculs conso habitat '!C21*C9,"")))))))</f>
      </c>
      <c r="D26" s="49" t="str">
        <f>IF(C26=""," ",IF($C$12="électricité",(C26*(VLOOKUP("elec HP.",'Bases calculs conso habitat '!$A$2:$B$9,2))*0.7)+(C26*(VLOOKUP("elec HC.",'Bases calculs conso habitat '!$A$2:$B$9,2))*0.3),C26*$D$12))</f>
        <v> </v>
      </c>
      <c r="E26" s="50"/>
      <c r="F26" s="39"/>
      <c r="G26" s="39"/>
      <c r="H26" s="51" t="s">
        <v>664</v>
      </c>
      <c r="I26" s="482">
        <f>IF(O26&lt;&gt;"suite",O26,IF(AND($C$12=$C$15,OR(ISBLANK(C16),$C$16=$C$15),$C$15&lt;&gt;"électricité"),(SUM(K12,K13,K14,K15,K16))&amp;" "&amp;"kWh"&amp;" "&amp;"(Consommation cumulée avec celles de la cuisson et de l'ECS)",IF(AND($C$12=$C$15,OR(ISBLANK(C16),$C$16&lt;&gt;$C$15),$C$15&lt;&gt;"électricité",$C$13&lt;&gt;"électricité",$C$14&lt;&gt;"électricité"),(SUM(K12,K13,K14,K15))&amp;" "&amp;"kWh"&amp;" "&amp;"(Consommation cumulée avec celle de l'ECS)",IF(OR(AND($C$12=$C$15,$C$16&lt;&gt;$C$15,$C$15="électricité"),AND($C$12=$C$15,$C$16&lt;&gt;$C$12,$C$12&lt;&gt;"électricité",OR(C13="électricité",C14="électricité"))),(SUM($K$10,$K$11,K12,$K$13,$K$14,K15))&amp;" "&amp;"kWh"&amp;" "&amp;"(Consommation cumulée avec celle de l'ECS et les consommations spécifiques)"," "))))</f>
      </c>
      <c r="J26" s="482"/>
      <c r="K26" s="483">
        <f>IF(Q26&lt;&gt;"suite",Q26,IF(AND($C$12=$C$15,OR(ISBLANK(C16),$C$16=$C$15),$C$15&lt;&gt;"électricité"),(SUM(C26,C27,C28))&amp;" "&amp;"kWh"&amp;" "&amp;"(Consommation cumulée avec celles de la cuisson et de l'ECS)",IF(AND($C$12=$C$15,OR(ISBLANK(C16),$C$16&lt;&gt;$C$15),$C$15&lt;&gt;"électricité",$C$13&lt;&gt;"électricité",$C$14&lt;&gt;"électricité"),(SUM(C26,C27))&amp;" "&amp;"kWh"&amp;" "&amp;"(Consommation cumulée avec celle de l'ECS)",IF(OR(AND($C$12=$C$15,$C$16&lt;&gt;$C$15,$C$15="électricité"),AND($C$12=$C$15,$C$16&lt;&gt;$C$12,$C$12&lt;&gt;"électricité",OR(C13="électricité",C14="électricité"))),(SUM(C26,C27,C29))&amp;" "&amp;"kWh"&amp;" "&amp;"(Consommation cumulée avec celle de l'ECS et les consommations spécifiques)"," "))))</f>
      </c>
      <c r="L26" s="483"/>
      <c r="N26" s="47" t="s">
        <v>664</v>
      </c>
      <c r="O26" s="482">
        <f>IF(OR($C$12="",$C$15="",$C$16=""),"",IF(AND($C$12=$C$15,OR(ISBLANK(I16),$C$16=$C$15),OR($C$15="électricité",$C$15="")),"Il n'est pas possible de différencier les usages. Voir la consommation globale.",IF(AND((OR($C$16=$C$12,$C$13=$C$16,$C$14=$C$16)),$C$12&lt;&gt;$C$15,$C$12&lt;&gt;"électricité",$C$16&lt;&gt;"électricité",$C$16&lt;&gt;""),(SUM(K12,K13,K14,K16))&amp;" "&amp;"kWh"&amp;" "&amp;"(Consommation cumulée avec celle de la cuisson)",IF(AND($C$12&lt;&gt;$C$15,$C$16&lt;&gt;$C$12,$C$12&lt;&gt;"électricité"),$K$12+$K$13+$K$14,IF(AND($C$12&lt;&gt;$C$15,$C$16&lt;&gt;$C$12,$C$12="électricité"),(SUM($K$10,$K$11,$K$13,$K$14))&amp;" "&amp;"kWh"&amp;" "&amp;"(Consommation cumulée avec les consommations spécifiques)",IF(AND($C$12&lt;&gt;$C$15,$C$16=$C$12,$C$12="électricité"),(SUM($K$10,$K$11,$K$13,$K$14))&amp;" "&amp;"kWh"&amp;" "&amp;"(Consommation cumulée avec celle de la cuisson et les consommations spécifiques)","suite"))))))</f>
      </c>
      <c r="P26" s="482"/>
      <c r="Q26" s="483">
        <f>IF(OR($C$12="",$C$15="",$C$16=""),"",IF(AND($C$12=$C$15,OR(ISBLANK(I16),$C$16=$C$15),OR($C$15="électricité",$C$15="")),"Il n'est pas possible de différencier les usages. Voir la consommation globale.",IF(AND((OR($C$16=$C$12,$C$13=$C$16,$C$14=$C$16)),$C$12&lt;&gt;$C$15,$C$12&lt;&gt;"électricité",$C$16&lt;&gt;"électricité",$C$16&lt;&gt;""),(SUM(C26,C28))&amp;" "&amp;"kWh"&amp;" "&amp;"(Consommation cumulée avec celle de la cuisson)",IF(AND($C$12&lt;&gt;$C$15,$C$16&lt;&gt;$C$12,$C$12&lt;&gt;"électricité"),C26,IF(AND($C$12&lt;&gt;$C$15,$C$16&lt;&gt;$C$12,$C$12="électricité"),(SUM(C26,C29))&amp;" "&amp;"kWh"&amp;" "&amp;"(Consommation cumulée avec les consommations spécifiques)",IF(AND($C$12&lt;&gt;$C$15,$C$16=$C$12,$C$12="électricité"),(SUM(C26,C28,C29))&amp;" "&amp;"kWh"&amp;" "&amp;"(Consommation cumulée avec celle de la cuisson et les consommations spécifiques)","suite"))))))</f>
      </c>
      <c r="R26" s="483"/>
      <c r="S26" s="52">
        <f>IF(C12="électricité","Si le chauffage est assuré par une PAC (Pompe A Chaleur), la consommation estimée pour le chauffage doivent-être au moins 2 fois moins élevées que la consommation standard.","")</f>
      </c>
    </row>
    <row r="27" spans="2:18" ht="65.25" customHeight="1">
      <c r="B27" s="47" t="s">
        <v>665</v>
      </c>
      <c r="C27" s="48">
        <f>1000+((C8-1)*700)</f>
        <v>3100</v>
      </c>
      <c r="D27" s="49" t="str">
        <f>IF(ISBLANK($C$15)," ",IF($C$15="électricité",C27*(VLOOKUP("elec HP.",'Bases calculs conso habitat '!$A$2:$B$9,2)),C27*$D$15))</f>
        <v> </v>
      </c>
      <c r="E27" s="39"/>
      <c r="F27" s="39"/>
      <c r="G27" s="39"/>
      <c r="H27" s="47" t="s">
        <v>665</v>
      </c>
      <c r="I27" s="482">
        <f>IF(O27&lt;&gt;"suite",O27,IF(AND($C$12=$C$15,OR(ISBLANK(I16),$C$16&lt;&gt;$C$15),$C$15&lt;&gt;"électricité",C13&lt;&gt;"électricité",C14&lt;&gt;"électricité"),"Consommation cumulée avec celle du chauffage",IF(AND($C$12&lt;&gt;$C$15,$C$16=$C$15,$C$15="électricité"),(SUM($K$10,$K$11))&amp;" "&amp;"kWh"&amp;" "&amp;"(Consommation cumulée avec celle de la cuisson et les consommations spécifiques)",IF(OR(AND($C$12=$C$15,$C$16&lt;&gt;$C$15,$C$15="électricité"),AND($C$12=$C$15,$C$16&lt;&gt;$C$12,$C$12&lt;&gt;"électricité",OR(C13="électricité",C14="électricité"))),"Consommation cumulée avec celle du chauffage et les consommations spécifiques"," "))))</f>
      </c>
      <c r="J27" s="482"/>
      <c r="K27" s="483">
        <f>IF(Q27&lt;&gt;"suite",Q27,IF(AND($C$12=$C$15,OR(ISBLANK(C16),$C$16&lt;&gt;$C$15),$C$15&lt;&gt;"électricité",C13&lt;&gt;"électricité",C14&lt;&gt;"électricité"),"Consommation cumulée avec celle du chauffage",IF(AND($C$12&lt;&gt;$C$15,$C$16=$C$15,$C$15="électricité"),(SUM(C27,C28,C29))&amp;" "&amp;"kWh"&amp;" "&amp;"(Consommation cumulée avec celle de la cuisson et les consommations spécifiques)",IF(OR(AND($C$12=$C$15,$C$16&lt;&gt;$C$15,$C$15="électricité"),AND($C$12=$C$15,$C$16&lt;&gt;$C$12,$C$12&lt;&gt;"électricité",OR(C13="électricité",C14="électricité"))),"Consommation cumulée avec celle du chauffage et les consommations spécifiques"," "))))</f>
      </c>
      <c r="L27" s="483"/>
      <c r="N27" s="47" t="s">
        <v>666</v>
      </c>
      <c r="O27" s="482">
        <f>IF(OR($C$12="",$C$15="",$C$16=""),"",IF(AND($C$12=$C$15,OR(ISBLANK(I16),$C$16=$C$15),OR($C$15="électricité",$C$15="")),"Il n'est pas possible de différencier les usages. Voir la consommation globale.",IF(AND($C$12&lt;&gt;$C$15,$C$16=$C$15,$C$15&lt;&gt;"électricité",$C$15&lt;&gt;""),(SUM(K15,K16))&amp;" "&amp;"kWh"&amp;" "&amp;"(Consommation cumulée avec celle de la cuisson)",IF(AND($C$12&lt;&gt;$C$15,$C$16&lt;&gt;$C$15,$C$15&lt;&gt;"électricité"),$K$15,IF(AND($C$12&lt;&gt;$C$15,$C$16&lt;&gt;$C$15,$C$15="électricité"),$K$11,IF(AND($C$12=$C$15,$C$16=$C$15,$C$15&lt;&gt;"électricité"),"Consommation cumulée avec celles de la cuisson et du chauffage","suite"))))))</f>
      </c>
      <c r="P27" s="482"/>
      <c r="Q27" s="483">
        <f>IF(OR($C$12="",$C$15="",$C$16=""),"",IF(AND($C$12=$C$15,OR(ISBLANK(I16),$C$16=$C$15),OR($C$15="électricité",$C$15="")),"Il n'est pas possible de différencier les usages. Voir la consommation globale.",IF(AND($C$12&lt;&gt;$C$15,$C$16=$C$15,$C$15&lt;&gt;"électricité",$C$15&lt;&gt;""),(SUM(C27,C28))&amp;" "&amp;"kWh"&amp;" "&amp;"(Consommation cumulée avec celle de la cuisson)",IF(AND($C$12&lt;&gt;$C$15,$C$16&lt;&gt;$C$15,$C$15&lt;&gt;"électricité"),C27,IF(AND($C$12&lt;&gt;$C$15,$C$16&lt;&gt;$C$15,$C$15="électricité"),C27,IF(AND($C$12=$C$15,$C$16=$C$15,$C$15&lt;&gt;"électricité"),"Consommation cumulée avec celles de la cuisson et du chauffage","suite"))))))</f>
      </c>
      <c r="R27" s="483"/>
    </row>
    <row r="28" spans="2:18" ht="65.25" customHeight="1">
      <c r="B28" s="53" t="s">
        <v>667</v>
      </c>
      <c r="C28" s="54">
        <f>500+($C$8-1)*200</f>
        <v>1100</v>
      </c>
      <c r="D28" s="55" t="str">
        <f>IF(ISBLANK($C$16)," ",IF(OR(AND(C16=C12,C16="électricité"),AND(C16=C15,C16="électricité")),C28*(VLOOKUP("elec HP.",'Bases calculs conso habitat '!$A$2:$B$9,2)),IF(AND(C16="électricité",C12&lt;&gt;"électricité",C15&lt;&gt;"électricité"),C28*(VLOOKUP("elec simple t.",'Bases calculs conso habitat '!$A$2:$B$9,2)),C28*D16)))</f>
        <v> </v>
      </c>
      <c r="E28" s="39"/>
      <c r="F28" s="39"/>
      <c r="G28" s="39"/>
      <c r="H28" s="53" t="s">
        <v>667</v>
      </c>
      <c r="I28" s="482">
        <f>IF(O28&lt;&gt;"suite",O28,IF(AND(OR($C$13="électricité",$C$16&lt;&gt;$C$13,ISBLANK($C$13)),$C$16="électricité",$C$16&lt;&gt;$C$15,$C$16&lt;&gt;$C$12),"Consommation cumulée avec les consommations spécifiques",IF(AND($C$12&lt;&gt;$C$15,$C$16=$C$12,$C$12="électricité"),"Consommation cumulée avec celle du chauffage et les consommations spécifiques",IF(AND($C$12=$C$15,OR(ISBLANK($C$16),$C$16=$C$15),$C$15&lt;&gt;"électricité"),"Consommation cumulée avec celles du chauffage et de l'ECS",IF(AND(OR($C$13="électricité",$C$16&lt;&gt;$C$13,ISBLANK($C$13)),$C$16="électricité",$C$16=$C$15,$C$16&lt;&gt;$C$12),"Consommation cumulée avec celle de l'ECS et les consommations spécifiques"," ")))))</f>
      </c>
      <c r="J28" s="482"/>
      <c r="K28" s="483">
        <f>IF(Q28&lt;&gt;"suite",Q28,IF(AND(OR($C$13="électricité",$C$16&lt;&gt;$C$13,ISBLANK($C$13)),$C$16="électricité",$C$16&lt;&gt;$C$15,$C$16&lt;&gt;$C$12),"Consommation cumulée avec les consommations spécifiques",IF(AND($C$12&lt;&gt;$C$15,$C$16=$C$12,$C$12="électricité"),"Consommation cumulée avec celle du chauffage et les consommations spécifiques",IF(AND($C$12=$C$15,OR(ISBLANK($C$16),$C$16=$C$15),$C$15&lt;&gt;"électricité"),"Consommation cumulée avec celles du chauffage et de l'ECS",IF(AND(OR($C$13="électricité",$C$16&lt;&gt;$C$13,ISBLANK($C$13)),$C$16="électricité",$C$16=$C$15,$C$16&lt;&gt;$C$12),"Consommation cumulée avec celle de l'ECS et les consommations spécifiques"," ")))))</f>
      </c>
      <c r="L28" s="483"/>
      <c r="N28" s="53" t="s">
        <v>667</v>
      </c>
      <c r="O28" s="482">
        <f>IF(OR($C$12="",$C$15="",$C$16=""),"",IF(AND($C$12=$C$15,OR(ISBLANK($C$16),$C$16=$C$15),OR($C$15="électricité",$C$15="")),"Il n'est pas possible de différencier les usages. Voir la consommation globale.",IF(AND($C$12=$C$15,$C$16&lt;&gt;$C$12,$C$16&lt;&gt;"électricité"),$K$16,IF(OR(AND($C$12&lt;&gt;$C$15,$C$16=$C$12,$C$16&lt;&gt;"électricité"),AND($C$16&lt;&gt;$C$15,$C$16&lt;&gt;$C$12,$C$16=$C$13,$C$16&lt;&gt;"électricité")),"Consommation cumulée avec celle du chauffage",IF(AND(OR(ISBLANK($C$13),$C$13&lt;&gt;$C$16),$C$12&lt;&gt;$C$15,$C$16=$C$15,$C$16&lt;&gt;"électricité",$C$16&lt;&gt;""),"Consommation cumulée avec celle d'ECS",IF(AND($C$16&lt;&gt;$C$13,$C$12&lt;&gt;$C$15,$C$16&lt;&gt;$C$15,$C$16&lt;&gt;$C$12),$K$16,"suite"))))))</f>
      </c>
      <c r="P28" s="482"/>
      <c r="Q28" s="483">
        <f>IF(OR($C$12="",$C$15="",$C$16=""),"",IF(AND($C$12=$C$15,OR(ISBLANK($C$16),$C$16=$C$15),OR($C$15="électricité",$C$15="")),"Il n'est pas possible de différencier les usages. Voir la consommation globale.",IF(AND($C$12=$C$15,$C$16&lt;&gt;$C$12,$C$16&lt;&gt;"électricité"),C28,IF(OR(AND($C$12&lt;&gt;$C$15,$C$16=$C$12,$C$16&lt;&gt;"électricité"),AND($C$16&lt;&gt;$C$15,$C$16&lt;&gt;$C$12,$C$16=$C$13,$C$16&lt;&gt;"électricité")),"Consommation cumulée avec celle du chauffage",IF(AND(OR(ISBLANK($C$13),$C$13&lt;&gt;$C$16),$C$12&lt;&gt;$C$15,$C$16=$C$15,$C$16&lt;&gt;"électricité",$C$16&lt;&gt;""),"Consommation cumulée avec celle d'ECS",IF(AND($C$16&lt;&gt;$C$13,$C$12&lt;&gt;$C$15,$C$16&lt;&gt;$C$15,$C$16&lt;&gt;$C$12),C28,"suite"))))))</f>
      </c>
      <c r="R28" s="483"/>
    </row>
    <row r="29" spans="2:18" ht="65.25" customHeight="1">
      <c r="B29" s="51" t="s">
        <v>668</v>
      </c>
      <c r="C29" s="48">
        <f>SUM(C30:C34)</f>
        <v>1972.7421666666667</v>
      </c>
      <c r="D29" s="49">
        <f>SUM(D30:D33)</f>
        <v>214.07697654999998</v>
      </c>
      <c r="E29" s="39"/>
      <c r="F29" s="39"/>
      <c r="G29" s="39"/>
      <c r="H29" s="51" t="s">
        <v>668</v>
      </c>
      <c r="I29" s="482">
        <f>IF(O29&lt;&gt;"suite",O29,IF(AND(OR($C$13="électricité",$C$13&lt;&gt;$C$15),$C$12&lt;&gt;$C$15,$C$16=$C$15,$C$15="électricité"),"Consommation cumulée avec celle de l'ECS et de la cuisson",IF(AND($C$12&lt;&gt;$C$15,$C$16=$C$12,$C$12="électricité"),"Consommation cumulée avec celles du chauffage et de la cuisson",IF(OR(AND($C$12=$C$15,$C$16&lt;&gt;$C$15,$C$15="électricité"),AND($C$12=$C$15,$C$16&lt;&gt;$C$12,$C$12&lt;&gt;"électricité",OR(C13="électricité",C14="électricité"))),"Consommation cumulée avec celles du chauffage et de l'ECS"," "))))</f>
      </c>
      <c r="J29" s="482"/>
      <c r="K29" s="483">
        <f>IF(Q29&lt;&gt;"suite",Q29,IF(AND($C$12&lt;&gt;$C$15,$C$16&lt;&gt;$C$15,$C$15="électricité"),C29,IF(AND(OR($C$13="électricité",$C$13&lt;&gt;$C$15),$C$12&lt;&gt;$C$15,$C$16=$C$15,$C$15="électricité"),"Consommation cumulée avec celle de l'ECS et de la cuisson",IF(AND($C$12&lt;&gt;$C$15,$C$16=$C$12,$C$12="électricité"),"Consommation cumulée avec celles du chauffage et de la cuisson",IF(OR(AND($C$12=$C$15,$C$16&lt;&gt;$C$15,$C$15="électricité"),AND($C$12=$C$15,$C$16&lt;&gt;$C$12,$C$12&lt;&gt;"électricité",OR(C13="électricité",C14="électricité"))),"Consommation cumulée avec celles du chauffage et de l'ECS"," ")))))</f>
      </c>
      <c r="L29" s="483"/>
      <c r="N29" s="47" t="s">
        <v>669</v>
      </c>
      <c r="O29" s="482">
        <f>IF(OR($C$12="",$C$15="",$C$16=""),"",IF(AND($C$12=$C$15,OR(ISBLANK(I16),$C$16=$C$15),OR($C$15="électricité",$C$15="")),"Il n'est pas possible de différencier les usages. Voir la consommation globale.",IF(AND($C$12&lt;&gt;"électricité",$C$13&lt;&gt;"électricité",$C$14&lt;&gt;"électricité",$C$15&lt;&gt;"électricité",$C$16&lt;&gt;"électricité"),K10,IF(AND($C$12&lt;&gt;"électricité",OR($C$16&lt;&gt;$C$13,ISBLANK($C$13)),OR($C$16&lt;&gt;$C$14,ISBLANK($C$14)),$C$15&lt;&gt;"électricité",$C$16="électricité"),(SUM($K$10,$K$11))&amp;" "&amp;"kWh"&amp;" "&amp;"(Consommation cumulée avec celle de la cuisson)",IF(AND($C$12&lt;&gt;$C$15,$C$16&lt;&gt;$C$12,$C$12="électricité"),"Consommation cumulée avec le chauffage",IF(AND($C$12&lt;&gt;$C$15,$C$16&lt;&gt;$C$15,$C$15="électricité"),$K$10,"suite"))))))</f>
      </c>
      <c r="P29" s="482"/>
      <c r="Q29" s="483">
        <f>IF(OR($C$12="",$C$15="",$C$16=""),"",IF(AND($C$12=$C$15,OR(ISBLANK(C16),$C$16=$C$15),OR($C$15="électricité",$C$15="")),"Il n'est pas possible de différencier les usages. Voir la consommation globale.",IF(AND($C$12&lt;&gt;"électricité",$C$13&lt;&gt;"électricité",$C$14&lt;&gt;"électricité",$C$15&lt;&gt;"électricité",$C$16&lt;&gt;"électricité"),C29,IF(AND($C$12&lt;&gt;"électricité",OR($C$16&lt;&gt;$C$13,ISBLANK($C$13)),OR($C$16&lt;&gt;$C$14,ISBLANK($C$14)),$C$15&lt;&gt;"électricité",$C$16="électricité"),(SUM(C29,C28))&amp;" "&amp;"kWh"&amp;" "&amp;"(Consommation cumulée avec celle de la cuisson)",IF(AND($C$12&lt;&gt;$C$15,$C$16&lt;&gt;$C$12,$C$12="électricité"),"Consommation cumulée avec le chauffage","suite")))))</f>
      </c>
      <c r="R29" s="483"/>
    </row>
    <row r="30" spans="2:18" ht="15">
      <c r="B30" s="56" t="s">
        <v>670</v>
      </c>
      <c r="C30" s="57">
        <f>'Bases calculs conso habitat '!B44</f>
        <v>460</v>
      </c>
      <c r="D30" s="58">
        <f>IF($C$15="électricité",C30*(VLOOKUP("elec HP.",'Bases calculs conso habitat '!$A$2:$B$9,2)),C30*(VLOOKUP("elec simple t.",'Bases calculs conso habitat '!$A$2:$B$9,2)))</f>
        <v>54.326</v>
      </c>
      <c r="E30" s="39"/>
      <c r="F30" s="39"/>
      <c r="G30" s="39"/>
      <c r="H30" s="59"/>
      <c r="I30" s="484"/>
      <c r="J30" s="484"/>
      <c r="K30" s="484"/>
      <c r="L30" s="484"/>
      <c r="N30" s="59"/>
      <c r="O30" s="485"/>
      <c r="P30" s="485"/>
      <c r="Q30" s="486"/>
      <c r="R30" s="486"/>
    </row>
    <row r="31" spans="2:18" ht="15">
      <c r="B31" s="56" t="s">
        <v>671</v>
      </c>
      <c r="C31" s="57">
        <f>'Bases calculs conso habitat '!B46+'Bases calculs conso habitat '!B47</f>
        <v>401.1826</v>
      </c>
      <c r="D31" s="58">
        <f>IF($C$15="électricité",C31*(VLOOKUP("elec HP.",'Bases calculs conso habitat '!$A$2:$B$9,2)),C31*(VLOOKUP("elec simple t.",'Bases calculs conso habitat '!$A$2:$B$9,2)))</f>
        <v>47.379665059999994</v>
      </c>
      <c r="E31" s="39"/>
      <c r="F31" s="39"/>
      <c r="G31" s="39"/>
      <c r="H31" s="60"/>
      <c r="I31" s="487"/>
      <c r="J31" s="487"/>
      <c r="K31" s="487"/>
      <c r="L31" s="487"/>
      <c r="N31" s="60"/>
      <c r="O31" s="488"/>
      <c r="P31" s="488"/>
      <c r="Q31" s="488"/>
      <c r="R31" s="488"/>
    </row>
    <row r="32" spans="2:18" ht="15">
      <c r="B32" s="56" t="s">
        <v>672</v>
      </c>
      <c r="C32" s="57">
        <f>'Bases calculs conso habitat '!B38</f>
        <v>350</v>
      </c>
      <c r="D32" s="58">
        <f>IF($C$15="électricité",C32*(VLOOKUP("elec HP.",'Bases calculs conso habitat '!$A$2:$B$9,2)),C32*(VLOOKUP("elec simple t.",'Bases calculs conso habitat '!$A$2:$B$9,2)))</f>
        <v>41.335</v>
      </c>
      <c r="E32" s="39"/>
      <c r="F32" s="61"/>
      <c r="G32" s="61"/>
      <c r="H32" s="62"/>
      <c r="I32" s="487"/>
      <c r="J32" s="487"/>
      <c r="K32" s="487"/>
      <c r="L32" s="487"/>
      <c r="N32" s="62"/>
      <c r="O32" s="488"/>
      <c r="P32" s="488"/>
      <c r="Q32" s="488"/>
      <c r="R32" s="488"/>
    </row>
    <row r="33" spans="2:18" ht="15">
      <c r="B33" s="56" t="s">
        <v>673</v>
      </c>
      <c r="C33" s="57">
        <f>'Bases calculs conso habitat '!B53+'Bases calculs conso habitat '!B59+'Bases calculs conso habitat '!B62+'Bases calculs conso habitat '!B63+'Bases calculs conso habitat '!B64+'Bases calculs conso habitat '!B65+'Bases calculs conso habitat '!B66+'Bases calculs conso habitat '!B67+'Bases calculs conso habitat '!B69+'Bases calculs conso habitat '!B70</f>
        <v>601.4929</v>
      </c>
      <c r="D33" s="58">
        <f>IF($C$15="électricité",C33*(VLOOKUP("elec HP.",'Bases calculs conso habitat '!$A$2:$B$9,2)),C33*(VLOOKUP("elec simple t.",'Bases calculs conso habitat '!$A$2:$B$9,2)))</f>
        <v>71.03631148999999</v>
      </c>
      <c r="E33" s="61"/>
      <c r="H33" s="63"/>
      <c r="I33" s="488"/>
      <c r="J33" s="488"/>
      <c r="K33" s="488"/>
      <c r="L33" s="488"/>
      <c r="N33" s="63"/>
      <c r="O33" s="488"/>
      <c r="P33" s="488"/>
      <c r="Q33" s="488"/>
      <c r="R33" s="488"/>
    </row>
    <row r="34" spans="2:18" ht="15">
      <c r="B34" s="56" t="s">
        <v>674</v>
      </c>
      <c r="C34" s="57">
        <f>'Bases calculs conso habitat '!B49+'Bases calculs conso habitat '!B50+'Bases calculs conso habitat '!B52+'Bases calculs conso habitat '!B51</f>
        <v>160.06666666666666</v>
      </c>
      <c r="D34" s="58">
        <f>IF($C$15="électricité",C34*(VLOOKUP("elec HP.",'Bases calculs conso habitat '!$A$2:$B$9,2)),C34*(VLOOKUP("elec simple t.",'Bases calculs conso habitat '!$A$2:$B$9,2)))</f>
        <v>18.903873333333333</v>
      </c>
      <c r="H34" s="64"/>
      <c r="I34" s="489"/>
      <c r="J34" s="489"/>
      <c r="K34" s="489"/>
      <c r="L34" s="489"/>
      <c r="N34" s="64"/>
      <c r="O34" s="489"/>
      <c r="P34" s="489"/>
      <c r="Q34" s="489"/>
      <c r="R34" s="489"/>
    </row>
    <row r="35" spans="2:18" ht="18">
      <c r="B35" s="65" t="s">
        <v>785</v>
      </c>
      <c r="C35" s="66">
        <f>SUM(C26:C29)</f>
        <v>6172.742166666667</v>
      </c>
      <c r="D35" s="66">
        <f>SUM(D26:D29)</f>
        <v>214.07697654999998</v>
      </c>
      <c r="H35" s="65" t="s">
        <v>785</v>
      </c>
      <c r="I35" s="490">
        <f>K17</f>
        <v>0</v>
      </c>
      <c r="J35" s="490"/>
      <c r="K35" s="491">
        <f>C35</f>
        <v>6172.742166666667</v>
      </c>
      <c r="L35" s="491"/>
      <c r="N35" s="65" t="s">
        <v>675</v>
      </c>
      <c r="O35" s="490"/>
      <c r="P35" s="490"/>
      <c r="Q35" s="491"/>
      <c r="R35" s="491"/>
    </row>
    <row r="36" spans="2:4" ht="18.75">
      <c r="B36" s="67"/>
      <c r="C36" s="68"/>
      <c r="D36" s="68"/>
    </row>
    <row r="37" spans="9:12" ht="14.25" customHeight="1">
      <c r="I37" s="492" t="s">
        <v>676</v>
      </c>
      <c r="J37" s="492"/>
      <c r="K37" s="493" t="s">
        <v>677</v>
      </c>
      <c r="L37" s="493"/>
    </row>
    <row r="38" spans="2:12" ht="18.75">
      <c r="B38" s="65" t="s">
        <v>678</v>
      </c>
      <c r="C38" s="66">
        <f>'Bases calculs conso habitat '!B26</f>
        <v>132.0354</v>
      </c>
      <c r="D38" s="66">
        <f>C38*'Bases calculs conso habitat '!B13</f>
        <v>433.18688970060003</v>
      </c>
      <c r="H38" s="65" t="s">
        <v>678</v>
      </c>
      <c r="I38" s="494">
        <f>I7</f>
        <v>0</v>
      </c>
      <c r="J38" s="494"/>
      <c r="K38" s="494">
        <f>C38</f>
        <v>132.0354</v>
      </c>
      <c r="L38" s="494"/>
    </row>
    <row r="39" ht="24" customHeight="1"/>
    <row r="40" spans="2:5" ht="24.75">
      <c r="B40" s="65" t="s">
        <v>679</v>
      </c>
      <c r="C40" s="66"/>
      <c r="D40" s="66">
        <f>D38+D35</f>
        <v>647.2638662506</v>
      </c>
      <c r="E40" s="69"/>
    </row>
    <row r="41" spans="3:4" ht="24.75">
      <c r="C41" s="69"/>
      <c r="D41" s="69"/>
    </row>
  </sheetData>
  <sheetProtection selectLockedCells="1" selectUnlockedCells="1"/>
  <mergeCells count="53">
    <mergeCell ref="I37:J37"/>
    <mergeCell ref="K37:L37"/>
    <mergeCell ref="I38:J38"/>
    <mergeCell ref="K38:L38"/>
    <mergeCell ref="I35:J35"/>
    <mergeCell ref="K35:L35"/>
    <mergeCell ref="O35:P35"/>
    <mergeCell ref="Q35:R35"/>
    <mergeCell ref="I34:J34"/>
    <mergeCell ref="K34:L34"/>
    <mergeCell ref="O34:P34"/>
    <mergeCell ref="Q34:R34"/>
    <mergeCell ref="I33:J33"/>
    <mergeCell ref="K33:L33"/>
    <mergeCell ref="O33:P33"/>
    <mergeCell ref="Q33:R33"/>
    <mergeCell ref="I32:J32"/>
    <mergeCell ref="K32:L32"/>
    <mergeCell ref="O32:P32"/>
    <mergeCell ref="Q32:R32"/>
    <mergeCell ref="I31:J31"/>
    <mergeCell ref="K31:L31"/>
    <mergeCell ref="O31:P31"/>
    <mergeCell ref="Q31:R31"/>
    <mergeCell ref="I30:J30"/>
    <mergeCell ref="K30:L30"/>
    <mergeCell ref="O30:P30"/>
    <mergeCell ref="Q30:R30"/>
    <mergeCell ref="I29:J29"/>
    <mergeCell ref="K29:L29"/>
    <mergeCell ref="O29:P29"/>
    <mergeCell ref="Q29:R29"/>
    <mergeCell ref="I28:J28"/>
    <mergeCell ref="K28:L28"/>
    <mergeCell ref="O28:P28"/>
    <mergeCell ref="Q28:R28"/>
    <mergeCell ref="I27:J27"/>
    <mergeCell ref="K27:L27"/>
    <mergeCell ref="O27:P27"/>
    <mergeCell ref="Q27:R27"/>
    <mergeCell ref="I26:J26"/>
    <mergeCell ref="K26:L26"/>
    <mergeCell ref="O26:P26"/>
    <mergeCell ref="Q26:R26"/>
    <mergeCell ref="I25:J25"/>
    <mergeCell ref="K25:L25"/>
    <mergeCell ref="O25:P25"/>
    <mergeCell ref="Q25:R25"/>
    <mergeCell ref="H4:K4"/>
    <mergeCell ref="H10:H11"/>
    <mergeCell ref="D11:E11"/>
    <mergeCell ref="B23:D23"/>
    <mergeCell ref="H23:L23"/>
  </mergeCells>
  <dataValidations count="4">
    <dataValidation type="list" showErrorMessage="1" sqref="C7">
      <formula1>TypeHabitation</formula1>
      <formula2>0</formula2>
    </dataValidation>
    <dataValidation showErrorMessage="1" sqref="C8">
      <formula1>0</formula1>
      <formula2>0</formula2>
    </dataValidation>
    <dataValidation type="list" allowBlank="1" showErrorMessage="1" sqref="C10">
      <formula1>niveauisolation</formula1>
      <formula2>0</formula2>
    </dataValidation>
    <dataValidation type="list" allowBlank="1" showErrorMessage="1" sqref="C12:C16">
      <formula1>Energie</formula1>
      <formula2>0</formula2>
    </dataValidation>
  </dataValidations>
  <printOptions/>
  <pageMargins left="0.31527777777777777" right="0.31527777777777777" top="0.4722222222222222" bottom="0.4722222222222222" header="0.5118055555555555" footer="0.5118055555555555"/>
  <pageSetup fitToHeight="1" fitToWidth="1" horizontalDpi="300" verticalDpi="300" orientation="landscape" paperSize="9"/>
  <drawing r:id="rId3"/>
  <legacyDrawing r:id="rId2"/>
</worksheet>
</file>

<file path=xl/worksheets/sheet3.xml><?xml version="1.0" encoding="utf-8"?>
<worksheet xmlns="http://schemas.openxmlformats.org/spreadsheetml/2006/main" xmlns:r="http://schemas.openxmlformats.org/officeDocument/2006/relationships">
  <sheetPr codeName="Feuil1">
    <pageSetUpPr fitToPage="1"/>
  </sheetPr>
  <dimension ref="B5:AA154"/>
  <sheetViews>
    <sheetView showGridLines="0" workbookViewId="0" topLeftCell="A1">
      <pane ySplit="3" topLeftCell="BM4" activePane="bottomLeft" state="frozen"/>
      <selection pane="topLeft" activeCell="A1" sqref="A1"/>
      <selection pane="bottomLeft" activeCell="N18" sqref="N18"/>
    </sheetView>
  </sheetViews>
  <sheetFormatPr defaultColWidth="11.421875" defaultRowHeight="15"/>
  <cols>
    <col min="1" max="1" width="5.28125" style="0" customWidth="1"/>
    <col min="2" max="2" width="5.7109375" style="0" customWidth="1"/>
    <col min="3" max="3" width="23.7109375" style="0" customWidth="1"/>
    <col min="4" max="4" width="22.421875" style="0" customWidth="1"/>
    <col min="5" max="5" width="14.421875" style="0" customWidth="1"/>
    <col min="6" max="6" width="6.28125" style="0" customWidth="1"/>
    <col min="7" max="7" width="18.28125" style="0" customWidth="1"/>
    <col min="8" max="8" width="17.7109375" style="0" customWidth="1"/>
    <col min="9" max="9" width="15.7109375" style="0" customWidth="1"/>
    <col min="10" max="10" width="13.7109375" style="0" customWidth="1"/>
    <col min="11" max="14" width="10.7109375" style="0" customWidth="1"/>
    <col min="15" max="16" width="10.7109375" style="10" customWidth="1"/>
    <col min="17" max="20" width="10.7109375" style="0" customWidth="1"/>
    <col min="21" max="21" width="11.421875" style="70" customWidth="1"/>
    <col min="22" max="28" width="11.421875" style="0" customWidth="1"/>
  </cols>
  <sheetData>
    <row r="5" spans="2:8" ht="15">
      <c r="B5" s="495" t="s">
        <v>680</v>
      </c>
      <c r="C5" s="495"/>
      <c r="D5" s="71"/>
      <c r="F5" s="496" t="s">
        <v>681</v>
      </c>
      <c r="G5" s="496"/>
      <c r="H5" s="71">
        <v>2</v>
      </c>
    </row>
    <row r="6" spans="2:21" s="72" customFormat="1" ht="6" customHeight="1">
      <c r="B6" s="73"/>
      <c r="C6" s="73"/>
      <c r="D6" s="74"/>
      <c r="F6" s="75"/>
      <c r="G6" s="75"/>
      <c r="H6" s="74"/>
      <c r="U6" s="74"/>
    </row>
    <row r="7" spans="2:8" ht="15">
      <c r="B7" s="495" t="s">
        <v>682</v>
      </c>
      <c r="C7" s="495"/>
      <c r="D7" s="71"/>
      <c r="F7" s="496" t="s">
        <v>683</v>
      </c>
      <c r="G7" s="496"/>
      <c r="H7" s="71">
        <v>2</v>
      </c>
    </row>
    <row r="8" spans="2:21" s="72" customFormat="1" ht="6" customHeight="1">
      <c r="B8" s="73"/>
      <c r="C8" s="73"/>
      <c r="D8" s="74"/>
      <c r="F8" s="75"/>
      <c r="G8" s="75"/>
      <c r="H8" s="74"/>
      <c r="U8" s="74"/>
    </row>
    <row r="9" spans="2:8" ht="15">
      <c r="B9" s="495" t="s">
        <v>684</v>
      </c>
      <c r="C9" s="495"/>
      <c r="D9" s="71"/>
      <c r="F9" s="496" t="s">
        <v>685</v>
      </c>
      <c r="G9" s="496"/>
      <c r="H9" s="71"/>
    </row>
    <row r="10" spans="2:21" s="72" customFormat="1" ht="6" customHeight="1">
      <c r="B10" s="73"/>
      <c r="C10" s="73"/>
      <c r="D10" s="74"/>
      <c r="F10" s="75"/>
      <c r="G10" s="75"/>
      <c r="H10" s="74"/>
      <c r="U10" s="74"/>
    </row>
    <row r="11" spans="2:27" ht="15" customHeight="1">
      <c r="B11" s="495" t="s">
        <v>686</v>
      </c>
      <c r="C11" s="495"/>
      <c r="D11" s="71"/>
      <c r="F11" s="496" t="s">
        <v>687</v>
      </c>
      <c r="G11" s="496"/>
      <c r="H11" s="71"/>
      <c r="X11" s="76"/>
      <c r="Y11" s="76"/>
      <c r="AA11" s="76"/>
    </row>
    <row r="12" spans="2:27" s="72" customFormat="1" ht="6" customHeight="1">
      <c r="B12" s="73"/>
      <c r="C12" s="73"/>
      <c r="D12" s="74"/>
      <c r="F12" s="75"/>
      <c r="G12" s="75"/>
      <c r="H12" s="74"/>
      <c r="U12" s="74"/>
      <c r="X12" s="77"/>
      <c r="Y12" s="77"/>
      <c r="Z12"/>
      <c r="AA12" s="77"/>
    </row>
    <row r="13" spans="2:27" ht="15" customHeight="1">
      <c r="B13" s="495" t="s">
        <v>688</v>
      </c>
      <c r="C13" s="495"/>
      <c r="D13" s="71">
        <v>3</v>
      </c>
      <c r="F13" s="21">
        <f>IF(SUM(H5:H11)&lt;&gt;'Descriptif initial'!C8,"Attention, incohérence avec le nombre de personnes indiqué sur la feuille Descriptif intial","")</f>
      </c>
      <c r="G13" s="21"/>
      <c r="H13" s="21"/>
      <c r="X13" s="76"/>
      <c r="Y13" s="76"/>
      <c r="AA13" s="76"/>
    </row>
    <row r="14" spans="2:27" s="72" customFormat="1" ht="6" customHeight="1">
      <c r="B14" s="73"/>
      <c r="C14" s="73"/>
      <c r="D14" s="74"/>
      <c r="F14" s="78"/>
      <c r="G14" s="78"/>
      <c r="H14" s="78"/>
      <c r="U14" s="74"/>
      <c r="X14" s="77"/>
      <c r="Y14" s="77"/>
      <c r="Z14"/>
      <c r="AA14" s="77"/>
    </row>
    <row r="15" spans="2:27" ht="15" customHeight="1">
      <c r="B15" s="495" t="s">
        <v>689</v>
      </c>
      <c r="C15" s="495"/>
      <c r="D15" s="71"/>
      <c r="F15" s="79"/>
      <c r="G15" s="79"/>
      <c r="H15" s="79"/>
      <c r="X15" s="76"/>
      <c r="Y15" s="76"/>
      <c r="AA15" s="76"/>
    </row>
    <row r="16" spans="4:8" ht="15">
      <c r="D16" s="80"/>
      <c r="F16" s="79"/>
      <c r="G16" s="79"/>
      <c r="H16" s="79"/>
    </row>
    <row r="17" spans="4:27" ht="15">
      <c r="D17" s="80"/>
      <c r="F17" s="79"/>
      <c r="G17" s="79"/>
      <c r="H17" s="79"/>
      <c r="X17" s="76" t="s">
        <v>690</v>
      </c>
      <c r="Y17" s="76" t="s">
        <v>691</v>
      </c>
      <c r="Z17" s="76">
        <v>0</v>
      </c>
      <c r="AA17" s="76" t="s">
        <v>692</v>
      </c>
    </row>
    <row r="18" spans="4:27" ht="15">
      <c r="D18" s="80"/>
      <c r="F18" s="79"/>
      <c r="G18" s="79"/>
      <c r="H18" s="79"/>
      <c r="X18" s="76" t="s">
        <v>693</v>
      </c>
      <c r="Y18" s="76" t="s">
        <v>694</v>
      </c>
      <c r="Z18" s="76">
        <v>1</v>
      </c>
      <c r="AA18" s="76" t="s">
        <v>695</v>
      </c>
    </row>
    <row r="19" spans="9:27" ht="15">
      <c r="I19" s="10"/>
      <c r="X19" s="76"/>
      <c r="Y19" s="76" t="s">
        <v>696</v>
      </c>
      <c r="Z19" s="76">
        <v>2</v>
      </c>
      <c r="AA19" s="76"/>
    </row>
    <row r="20" spans="4:27" ht="18" customHeight="1">
      <c r="D20" s="81"/>
      <c r="E20" s="497" t="s">
        <v>697</v>
      </c>
      <c r="F20" s="497"/>
      <c r="G20" s="82" t="s">
        <v>698</v>
      </c>
      <c r="I20" s="83"/>
      <c r="J20" s="84" t="s">
        <v>699</v>
      </c>
      <c r="K20" s="84" t="s">
        <v>698</v>
      </c>
      <c r="X20" s="76"/>
      <c r="Y20" s="76"/>
      <c r="Z20" s="76">
        <v>3</v>
      </c>
      <c r="AA20" s="76"/>
    </row>
    <row r="21" spans="3:27" ht="15" customHeight="1">
      <c r="C21" s="498" t="s">
        <v>700</v>
      </c>
      <c r="D21" s="85" t="s">
        <v>701</v>
      </c>
      <c r="E21" s="499">
        <f>SUM(E22:F31)</f>
        <v>2645.7034166666663</v>
      </c>
      <c r="F21" s="499"/>
      <c r="G21" s="86">
        <f>SUM(G22:G31)</f>
        <v>331.31957850066664</v>
      </c>
      <c r="H21" s="500" t="s">
        <v>702</v>
      </c>
      <c r="I21" s="87" t="s">
        <v>701</v>
      </c>
      <c r="J21" s="88">
        <f>SUM(J22:J28)</f>
        <v>132.03539999999998</v>
      </c>
      <c r="K21" s="89">
        <f>SUM(K22:K28)</f>
        <v>427.56025081559994</v>
      </c>
      <c r="X21" s="77"/>
      <c r="Y21" s="77"/>
      <c r="Z21" s="76">
        <v>4</v>
      </c>
      <c r="AA21" s="77"/>
    </row>
    <row r="22" spans="3:27" ht="15">
      <c r="C22" s="498"/>
      <c r="D22" s="15" t="s">
        <v>703</v>
      </c>
      <c r="E22" s="501">
        <f>SUM(S36:S44)+S136</f>
        <v>401.1826</v>
      </c>
      <c r="F22" s="501"/>
      <c r="G22" s="91">
        <f>SUM(T36:T44)+T136</f>
        <v>47.616362794</v>
      </c>
      <c r="H22" s="500"/>
      <c r="I22" s="15" t="s">
        <v>704</v>
      </c>
      <c r="J22" s="92">
        <f>SUM(Q125:Q131)</f>
        <v>68.6</v>
      </c>
      <c r="K22" s="93">
        <f>SUM(R125:R131)</f>
        <v>225.06555539999997</v>
      </c>
      <c r="S22" s="76"/>
      <c r="T22" s="76"/>
      <c r="V22" s="76"/>
      <c r="X22" s="76"/>
      <c r="Y22" s="76"/>
      <c r="Z22" s="76">
        <v>5</v>
      </c>
      <c r="AA22" s="76"/>
    </row>
    <row r="23" spans="3:27" ht="15">
      <c r="C23" s="498"/>
      <c r="D23" s="15" t="s">
        <v>705</v>
      </c>
      <c r="E23" s="501">
        <f>SUM(S45:S54)</f>
        <v>253</v>
      </c>
      <c r="F23" s="501"/>
      <c r="G23" s="91">
        <f>SUM(T45:T54)</f>
        <v>30.028570000000002</v>
      </c>
      <c r="H23" s="500"/>
      <c r="I23" s="15" t="s">
        <v>706</v>
      </c>
      <c r="J23" s="92">
        <f>SUM(Q132:Q133)</f>
        <v>32.928</v>
      </c>
      <c r="K23" s="93">
        <f>SUM(R132:R133)</f>
        <v>108.03146659199999</v>
      </c>
      <c r="X23" s="77"/>
      <c r="Y23" s="77"/>
      <c r="Z23" s="76">
        <v>6</v>
      </c>
      <c r="AA23" s="77"/>
    </row>
    <row r="24" spans="3:27" ht="15">
      <c r="C24" s="498"/>
      <c r="D24" s="15" t="s">
        <v>667</v>
      </c>
      <c r="E24" s="501">
        <f>SUM(S55:S62)</f>
        <v>489.02</v>
      </c>
      <c r="F24" s="501"/>
      <c r="G24" s="91">
        <f>SUM(T55:T62)</f>
        <v>64.159424</v>
      </c>
      <c r="H24" s="500"/>
      <c r="I24" s="13" t="s">
        <v>707</v>
      </c>
      <c r="J24" s="92">
        <f>SUM(Q36:Q38)</f>
        <v>14.7784</v>
      </c>
      <c r="K24" s="93">
        <f>SUM(R36:R38)</f>
        <v>48.48555107759999</v>
      </c>
      <c r="X24" s="76"/>
      <c r="Y24" s="76"/>
      <c r="Z24" s="76">
        <v>7</v>
      </c>
      <c r="AA24" s="76"/>
    </row>
    <row r="25" spans="3:27" ht="15">
      <c r="C25" s="498"/>
      <c r="D25" s="15" t="s">
        <v>708</v>
      </c>
      <c r="E25" s="501">
        <f>SUM(S63:S68)</f>
        <v>160.06666666666666</v>
      </c>
      <c r="F25" s="501"/>
      <c r="G25" s="91">
        <f>SUM(T63:T68)</f>
        <v>21.000746666666664</v>
      </c>
      <c r="H25" s="500"/>
      <c r="I25" s="13" t="s">
        <v>709</v>
      </c>
      <c r="J25" s="92">
        <f>SUM(Q39:Q41)+SUM(Q136:Q138)</f>
        <v>5.733</v>
      </c>
      <c r="K25" s="92">
        <f>SUM(R39:R41)+SUM(R136:R138)</f>
        <v>13.182411101999998</v>
      </c>
      <c r="X25" s="77"/>
      <c r="Y25" s="77"/>
      <c r="Z25" s="76">
        <v>8</v>
      </c>
      <c r="AA25" s="77"/>
    </row>
    <row r="26" spans="3:11" ht="15">
      <c r="C26" s="498"/>
      <c r="D26" s="15" t="s">
        <v>672</v>
      </c>
      <c r="E26" s="502">
        <f>SUM(S70:S76)</f>
        <v>257.25</v>
      </c>
      <c r="F26" s="502"/>
      <c r="G26" s="91">
        <f>SUM(T70:T76)</f>
        <v>33.751200000000004</v>
      </c>
      <c r="H26" s="500"/>
      <c r="I26" s="15" t="s">
        <v>710</v>
      </c>
      <c r="J26" s="92">
        <f>Q135</f>
        <v>5.145</v>
      </c>
      <c r="K26" s="93">
        <f>R135</f>
        <v>16.879916655</v>
      </c>
    </row>
    <row r="27" spans="3:11" ht="15">
      <c r="C27" s="498"/>
      <c r="D27" s="15" t="s">
        <v>711</v>
      </c>
      <c r="E27" s="501">
        <f>SUM(S77:S97)</f>
        <v>354.65139999999997</v>
      </c>
      <c r="F27" s="501"/>
      <c r="G27" s="91">
        <f>SUM(T77:T97)</f>
        <v>44.667274479999996</v>
      </c>
      <c r="H27" s="500"/>
      <c r="I27" s="15" t="s">
        <v>712</v>
      </c>
      <c r="J27" s="92">
        <f>Q134</f>
        <v>0.735</v>
      </c>
      <c r="K27" s="93">
        <f>R134</f>
        <v>2.411416665</v>
      </c>
    </row>
    <row r="28" spans="3:11" ht="15">
      <c r="C28" s="498"/>
      <c r="D28" s="15" t="s">
        <v>713</v>
      </c>
      <c r="E28" s="501">
        <f>SUM(S98:S114)</f>
        <v>375.15275</v>
      </c>
      <c r="F28" s="501"/>
      <c r="G28" s="91">
        <f>SUM(T98:T114)</f>
        <v>47.91594836000001</v>
      </c>
      <c r="I28" s="15" t="s">
        <v>714</v>
      </c>
      <c r="J28" s="92">
        <f>Q139</f>
        <v>4.116</v>
      </c>
      <c r="K28" s="93">
        <f>R139</f>
        <v>13.503933323999998</v>
      </c>
    </row>
    <row r="29" spans="3:11" ht="15" customHeight="1">
      <c r="C29" s="498"/>
      <c r="D29" s="15" t="s">
        <v>674</v>
      </c>
      <c r="E29" s="501">
        <f>SUM(S115:S124)</f>
        <v>13.14</v>
      </c>
      <c r="F29" s="501"/>
      <c r="G29" s="91">
        <f>SUM(T115:T124)</f>
        <v>1.5595866</v>
      </c>
      <c r="J29" s="95"/>
      <c r="K29" s="95"/>
    </row>
    <row r="30" spans="3:7" ht="15">
      <c r="C30" s="498"/>
      <c r="D30" s="15" t="s">
        <v>666</v>
      </c>
      <c r="E30" s="501">
        <f>SUM(S125:S131)+S134</f>
        <v>0</v>
      </c>
      <c r="F30" s="501"/>
      <c r="G30" s="91">
        <f>SUM(T125:T131)+T134</f>
        <v>0</v>
      </c>
    </row>
    <row r="31" spans="3:7" ht="15">
      <c r="C31" s="498"/>
      <c r="D31" s="15" t="s">
        <v>715</v>
      </c>
      <c r="E31" s="501">
        <f>SUM(S140:S145)</f>
        <v>342.24</v>
      </c>
      <c r="F31" s="501"/>
      <c r="G31" s="91">
        <f>SUM(T140:T145)</f>
        <v>40.62046560000001</v>
      </c>
    </row>
    <row r="32" spans="3:7" ht="15">
      <c r="C32" s="96"/>
      <c r="D32" s="18"/>
      <c r="E32" s="97"/>
      <c r="F32" s="98"/>
      <c r="G32" s="99"/>
    </row>
    <row r="33" spans="3:7" ht="15">
      <c r="C33" s="96"/>
      <c r="D33" s="18"/>
      <c r="E33" s="97"/>
      <c r="F33" s="98"/>
      <c r="G33" s="99"/>
    </row>
    <row r="34" spans="7:23" ht="30.75" customHeight="1">
      <c r="G34" s="100"/>
      <c r="H34" s="23"/>
      <c r="K34" s="503" t="s">
        <v>716</v>
      </c>
      <c r="L34" s="503"/>
      <c r="M34" s="503"/>
      <c r="N34" s="503"/>
      <c r="O34" s="504" t="s">
        <v>717</v>
      </c>
      <c r="P34" s="504"/>
      <c r="Q34" s="505" t="s">
        <v>718</v>
      </c>
      <c r="R34" s="505"/>
      <c r="S34" s="506" t="s">
        <v>778</v>
      </c>
      <c r="T34" s="506"/>
      <c r="W34" s="101" t="s">
        <v>719</v>
      </c>
    </row>
    <row r="35" spans="2:23" ht="48.75" customHeight="1">
      <c r="B35" s="9"/>
      <c r="C35" s="102" t="s">
        <v>720</v>
      </c>
      <c r="D35" s="103" t="s">
        <v>721</v>
      </c>
      <c r="E35" s="104"/>
      <c r="F35" s="507" t="s">
        <v>722</v>
      </c>
      <c r="G35" s="507"/>
      <c r="H35" s="105" t="s">
        <v>723</v>
      </c>
      <c r="I35" s="106" t="s">
        <v>724</v>
      </c>
      <c r="J35" s="106" t="s">
        <v>725</v>
      </c>
      <c r="K35" s="107" t="s">
        <v>690</v>
      </c>
      <c r="L35" s="108" t="s">
        <v>726</v>
      </c>
      <c r="M35" s="109" t="s">
        <v>727</v>
      </c>
      <c r="N35" s="108" t="s">
        <v>728</v>
      </c>
      <c r="O35" s="110" t="s">
        <v>729</v>
      </c>
      <c r="P35" s="111" t="s">
        <v>730</v>
      </c>
      <c r="Q35" s="112" t="s">
        <v>729</v>
      </c>
      <c r="R35" s="113" t="s">
        <v>730</v>
      </c>
      <c r="S35" s="114" t="s">
        <v>731</v>
      </c>
      <c r="T35" s="115" t="s">
        <v>732</v>
      </c>
      <c r="U35" s="116"/>
      <c r="V35" s="117"/>
      <c r="W35" s="117"/>
    </row>
    <row r="36" spans="2:23" ht="18.75" customHeight="1">
      <c r="B36" s="508" t="s">
        <v>733</v>
      </c>
      <c r="C36" s="509" t="s">
        <v>734</v>
      </c>
      <c r="D36" s="118" t="s">
        <v>735</v>
      </c>
      <c r="E36" s="119"/>
      <c r="F36" s="120">
        <v>4.64</v>
      </c>
      <c r="G36" s="120" t="s">
        <v>736</v>
      </c>
      <c r="H36" s="121">
        <v>0.83</v>
      </c>
      <c r="I36" s="121">
        <v>80</v>
      </c>
      <c r="J36" s="122">
        <f aca="true" t="shared" si="0" ref="J36:J44">H36*F36*(52-$D$13)</f>
        <v>188.70879999999997</v>
      </c>
      <c r="K36" s="123">
        <f>J36*'Bases calculs conso habitat '!$B$7</f>
        <v>22.286509279999997</v>
      </c>
      <c r="L36" s="124">
        <f>J36*'Bases calculs conso habitat '!$B$5</f>
        <v>16.889437599999997</v>
      </c>
      <c r="M36" s="124">
        <f>J36*'Bases calculs conso habitat '!$B$6</f>
        <v>24.75859456</v>
      </c>
      <c r="N36" s="124">
        <f>J36*3/10*'Bases calculs conso habitat '!$B$5+J36*7/10*'Bases calculs conso habitat '!$B$6</f>
        <v>22.397847472</v>
      </c>
      <c r="O36" s="125">
        <f aca="true" t="shared" si="1" ref="O36:O41">I36/1000*F36*(52-$D$13)</f>
        <v>18.1888</v>
      </c>
      <c r="P36" s="126">
        <f>O36*'Bases calculs conso habitat '!$B13</f>
        <v>59.674524403199996</v>
      </c>
      <c r="Q36" s="92">
        <f aca="true" t="shared" si="2" ref="Q36:Q41">IF(U36=TRUE,I36/1000*F36*(52-$D$13),0)</f>
        <v>0</v>
      </c>
      <c r="R36" s="93">
        <f>Q36*'Bases calculs conso habitat '!$B13</f>
        <v>0</v>
      </c>
      <c r="S36" s="90">
        <f aca="true" t="shared" si="3" ref="S36:S68">IF(U36=FALSE,0,J36)</f>
        <v>0</v>
      </c>
      <c r="T36" s="91">
        <f aca="true" t="shared" si="4" ref="T36:T44">IF(U36=FALSE,0,IF($D$5="Simple tarif",K36,IF($D$7="Jamais",M36,IF($D$7="Toujours",L36,N36))))</f>
        <v>0</v>
      </c>
      <c r="U36" s="127" t="b">
        <f>FALSE</f>
        <v>0</v>
      </c>
      <c r="V36" s="101"/>
      <c r="W36" s="101" t="s">
        <v>737</v>
      </c>
    </row>
    <row r="37" spans="2:23" ht="18.75" customHeight="1">
      <c r="B37" s="508"/>
      <c r="C37" s="509"/>
      <c r="D37" s="118" t="s">
        <v>738</v>
      </c>
      <c r="E37" s="119"/>
      <c r="F37" s="120">
        <v>4.64</v>
      </c>
      <c r="G37" s="120" t="s">
        <v>736</v>
      </c>
      <c r="H37" s="121">
        <v>0.66</v>
      </c>
      <c r="I37" s="121">
        <v>65</v>
      </c>
      <c r="J37" s="122">
        <f t="shared" si="0"/>
        <v>150.05759999999998</v>
      </c>
      <c r="K37" s="123">
        <f>J37*'Bases calculs conso habitat '!$B$7</f>
        <v>17.721802559999997</v>
      </c>
      <c r="L37" s="124">
        <f>J37*'Bases calculs conso habitat '!$B$5</f>
        <v>13.430155199999998</v>
      </c>
      <c r="M37" s="124">
        <f>J37*'Bases calculs conso habitat '!$B$6</f>
        <v>19.687557119999997</v>
      </c>
      <c r="N37" s="124">
        <f>J37*3/10*'Bases calculs conso habitat '!$B$5+J37*7/10*'Bases calculs conso habitat '!$B$6</f>
        <v>17.810336544</v>
      </c>
      <c r="O37" s="125">
        <f t="shared" si="1"/>
        <v>14.7784</v>
      </c>
      <c r="P37" s="126">
        <f>O37*'Bases calculs conso habitat '!$B13</f>
        <v>48.48555107759999</v>
      </c>
      <c r="Q37" s="92">
        <f t="shared" si="2"/>
        <v>14.7784</v>
      </c>
      <c r="R37" s="93">
        <f>Q37*'Bases calculs conso habitat '!$B13</f>
        <v>48.48555107759999</v>
      </c>
      <c r="S37" s="90">
        <f t="shared" si="3"/>
        <v>150.05759999999998</v>
      </c>
      <c r="T37" s="91">
        <f t="shared" si="4"/>
        <v>17.810336544</v>
      </c>
      <c r="U37" s="127" t="b">
        <f>TRUE</f>
        <v>1</v>
      </c>
      <c r="V37" s="101"/>
      <c r="W37" s="101" t="s">
        <v>737</v>
      </c>
    </row>
    <row r="38" spans="2:23" ht="18.75" customHeight="1">
      <c r="B38" s="508"/>
      <c r="C38" s="509"/>
      <c r="D38" s="118" t="s">
        <v>739</v>
      </c>
      <c r="E38" s="119"/>
      <c r="F38" s="120">
        <v>4.64</v>
      </c>
      <c r="G38" s="120" t="s">
        <v>736</v>
      </c>
      <c r="H38" s="121">
        <v>0.57</v>
      </c>
      <c r="I38" s="121">
        <v>48</v>
      </c>
      <c r="J38" s="122">
        <f t="shared" si="0"/>
        <v>129.59519999999998</v>
      </c>
      <c r="K38" s="123">
        <f>J38*'Bases calculs conso habitat '!$B$7</f>
        <v>15.305193119999997</v>
      </c>
      <c r="L38" s="124">
        <f>J38*'Bases calculs conso habitat '!$B$5</f>
        <v>11.598770399999998</v>
      </c>
      <c r="M38" s="124">
        <f>J38*'Bases calculs conso habitat '!$B$6</f>
        <v>17.00289024</v>
      </c>
      <c r="N38" s="124">
        <f>J38*3/10*'Bases calculs conso habitat '!$B$5+J38*7/10*'Bases calculs conso habitat '!$B$6</f>
        <v>15.381654287999998</v>
      </c>
      <c r="O38" s="125">
        <f t="shared" si="1"/>
        <v>10.91328</v>
      </c>
      <c r="P38" s="126">
        <f>O38*'Bases calculs conso habitat '!$B13</f>
        <v>35.80471464192</v>
      </c>
      <c r="Q38" s="92">
        <f t="shared" si="2"/>
        <v>0</v>
      </c>
      <c r="R38" s="93">
        <f>Q38*'Bases calculs conso habitat '!$B13</f>
        <v>0</v>
      </c>
      <c r="S38" s="90">
        <f t="shared" si="3"/>
        <v>0</v>
      </c>
      <c r="T38" s="91">
        <f t="shared" si="4"/>
        <v>0</v>
      </c>
      <c r="U38" s="127" t="b">
        <f>FALSE</f>
        <v>0</v>
      </c>
      <c r="V38" s="101"/>
      <c r="W38" s="101" t="s">
        <v>740</v>
      </c>
    </row>
    <row r="39" spans="2:23" ht="18.75" customHeight="1">
      <c r="B39" s="508"/>
      <c r="C39" s="510" t="s">
        <v>741</v>
      </c>
      <c r="D39" s="118" t="s">
        <v>735</v>
      </c>
      <c r="E39" s="119"/>
      <c r="F39" s="120">
        <v>4.1</v>
      </c>
      <c r="G39" s="120" t="s">
        <v>736</v>
      </c>
      <c r="H39" s="121">
        <v>1.7</v>
      </c>
      <c r="I39" s="121">
        <v>30</v>
      </c>
      <c r="J39" s="122">
        <f t="shared" si="0"/>
        <v>341.53</v>
      </c>
      <c r="K39" s="123">
        <f>J39*'Bases calculs conso habitat '!$B$7</f>
        <v>40.334692999999994</v>
      </c>
      <c r="L39" s="124">
        <f>J39*'Bases calculs conso habitat '!$B$5</f>
        <v>30.566934999999997</v>
      </c>
      <c r="M39" s="124">
        <f>J39*'Bases calculs conso habitat '!$B$6</f>
        <v>44.808736</v>
      </c>
      <c r="N39" s="124">
        <f>J39*3/10*'Bases calculs conso habitat '!$B$5+J39*7/10*'Bases calculs conso habitat '!$B$6</f>
        <v>40.5361957</v>
      </c>
      <c r="O39" s="125">
        <f t="shared" si="1"/>
        <v>6.026999999999999</v>
      </c>
      <c r="P39" s="126">
        <f>O39*'Bases calculs conso habitat '!$B13</f>
        <v>19.773616652999998</v>
      </c>
      <c r="Q39" s="92">
        <f t="shared" si="2"/>
        <v>0</v>
      </c>
      <c r="R39" s="93">
        <f>Q39*'Bases calculs conso habitat '!$B13</f>
        <v>0</v>
      </c>
      <c r="S39" s="90">
        <f t="shared" si="3"/>
        <v>0</v>
      </c>
      <c r="T39" s="91">
        <f t="shared" si="4"/>
        <v>0</v>
      </c>
      <c r="U39" s="127" t="b">
        <f>FALSE</f>
        <v>0</v>
      </c>
      <c r="V39" s="101"/>
      <c r="W39" s="101" t="s">
        <v>737</v>
      </c>
    </row>
    <row r="40" spans="2:23" ht="18.75" customHeight="1">
      <c r="B40" s="508"/>
      <c r="C40" s="510"/>
      <c r="D40" s="118" t="s">
        <v>738</v>
      </c>
      <c r="E40" s="119"/>
      <c r="F40" s="120">
        <v>4.1</v>
      </c>
      <c r="G40" s="120" t="s">
        <v>736</v>
      </c>
      <c r="H40" s="121">
        <v>1.25</v>
      </c>
      <c r="I40" s="121">
        <v>20</v>
      </c>
      <c r="J40" s="122">
        <f t="shared" si="0"/>
        <v>251.125</v>
      </c>
      <c r="K40" s="123">
        <f>J40*'Bases calculs conso habitat '!$B$7</f>
        <v>29.6578625</v>
      </c>
      <c r="L40" s="124">
        <f>J40*'Bases calculs conso habitat '!$B$5</f>
        <v>22.4756875</v>
      </c>
      <c r="M40" s="124">
        <f>J40*'Bases calculs conso habitat '!$B$6</f>
        <v>32.9476</v>
      </c>
      <c r="N40" s="124">
        <f>J40*3/10*'Bases calculs conso habitat '!$B$5+J40*7/10*'Bases calculs conso habitat '!$B$6</f>
        <v>29.806026250000002</v>
      </c>
      <c r="O40" s="125">
        <f t="shared" si="1"/>
        <v>4.018</v>
      </c>
      <c r="P40" s="126">
        <f>O40*'Bases calculs conso habitat '!$B13</f>
        <v>13.182411101999998</v>
      </c>
      <c r="Q40" s="92">
        <f t="shared" si="2"/>
        <v>4.018</v>
      </c>
      <c r="R40" s="93">
        <f>Q40*'Bases calculs conso habitat '!$B13</f>
        <v>13.182411101999998</v>
      </c>
      <c r="S40" s="90">
        <f t="shared" si="3"/>
        <v>251.125</v>
      </c>
      <c r="T40" s="91">
        <f t="shared" si="4"/>
        <v>29.806026250000002</v>
      </c>
      <c r="U40" s="127" t="b">
        <f>TRUE</f>
        <v>1</v>
      </c>
      <c r="V40" s="101"/>
      <c r="W40" s="101" t="s">
        <v>737</v>
      </c>
    </row>
    <row r="41" spans="2:23" ht="18.75" customHeight="1">
      <c r="B41" s="508"/>
      <c r="C41" s="510"/>
      <c r="D41" s="118" t="s">
        <v>739</v>
      </c>
      <c r="E41" s="119"/>
      <c r="F41" s="120">
        <v>4.1</v>
      </c>
      <c r="G41" s="120" t="s">
        <v>736</v>
      </c>
      <c r="H41" s="121">
        <v>0.85</v>
      </c>
      <c r="I41" s="121">
        <v>10</v>
      </c>
      <c r="J41" s="122">
        <f t="shared" si="0"/>
        <v>170.765</v>
      </c>
      <c r="K41" s="123">
        <f>J41*'Bases calculs conso habitat '!$B$7</f>
        <v>20.167346499999997</v>
      </c>
      <c r="L41" s="124">
        <f>J41*'Bases calculs conso habitat '!$B$5</f>
        <v>15.283467499999999</v>
      </c>
      <c r="M41" s="124">
        <f>J41*'Bases calculs conso habitat '!$B$6</f>
        <v>22.404368</v>
      </c>
      <c r="N41" s="124">
        <f>J41*3/10*'Bases calculs conso habitat '!$B$5+J41*7/10*'Bases calculs conso habitat '!$B$6</f>
        <v>20.26809785</v>
      </c>
      <c r="O41" s="125">
        <f t="shared" si="1"/>
        <v>2.009</v>
      </c>
      <c r="P41" s="126">
        <f>O41*'Bases calculs conso habitat '!$B13</f>
        <v>6.591205550999999</v>
      </c>
      <c r="Q41" s="92">
        <f t="shared" si="2"/>
        <v>0</v>
      </c>
      <c r="R41" s="93">
        <f>Q41*'Bases calculs conso habitat '!$B13</f>
        <v>0</v>
      </c>
      <c r="S41" s="90">
        <f t="shared" si="3"/>
        <v>0</v>
      </c>
      <c r="T41" s="91">
        <f t="shared" si="4"/>
        <v>0</v>
      </c>
      <c r="U41" s="127" t="b">
        <f>FALSE</f>
        <v>0</v>
      </c>
      <c r="V41" s="101"/>
      <c r="W41" s="101" t="s">
        <v>742</v>
      </c>
    </row>
    <row r="42" spans="2:23" ht="18.75" customHeight="1">
      <c r="B42" s="508"/>
      <c r="C42" s="510" t="s">
        <v>743</v>
      </c>
      <c r="D42" s="118" t="s">
        <v>744</v>
      </c>
      <c r="E42" s="119"/>
      <c r="F42" s="120">
        <v>3.7</v>
      </c>
      <c r="G42" s="120" t="s">
        <v>736</v>
      </c>
      <c r="H42" s="121">
        <v>4</v>
      </c>
      <c r="I42" s="128"/>
      <c r="J42" s="122">
        <f t="shared" si="0"/>
        <v>725.2</v>
      </c>
      <c r="K42" s="123">
        <f>J42*'Bases calculs conso habitat '!$B$7</f>
        <v>85.64612</v>
      </c>
      <c r="L42" s="124">
        <f>J42*'Bases calculs conso habitat '!$B$5</f>
        <v>64.9054</v>
      </c>
      <c r="M42" s="124">
        <f>J42*'Bases calculs conso habitat '!$B$6</f>
        <v>95.14624000000002</v>
      </c>
      <c r="N42" s="124">
        <f>J42*3/10*'Bases calculs conso habitat '!$B$5+J42*7/10*'Bases calculs conso habitat '!$B$6</f>
        <v>86.07398800000001</v>
      </c>
      <c r="O42" s="129"/>
      <c r="P42" s="126"/>
      <c r="Q42" s="130"/>
      <c r="R42" s="130"/>
      <c r="S42" s="90">
        <f t="shared" si="3"/>
        <v>0</v>
      </c>
      <c r="T42" s="91">
        <f t="shared" si="4"/>
        <v>0</v>
      </c>
      <c r="U42" s="127" t="b">
        <f>FALSE</f>
        <v>0</v>
      </c>
      <c r="V42" s="101"/>
      <c r="W42" s="101" t="s">
        <v>745</v>
      </c>
    </row>
    <row r="43" spans="2:23" ht="18.75" customHeight="1">
      <c r="B43" s="508"/>
      <c r="C43" s="510"/>
      <c r="D43" s="118" t="s">
        <v>738</v>
      </c>
      <c r="E43" s="119"/>
      <c r="F43" s="120">
        <v>3.7</v>
      </c>
      <c r="G43" s="120" t="s">
        <v>736</v>
      </c>
      <c r="H43" s="121">
        <v>2.2</v>
      </c>
      <c r="I43" s="128"/>
      <c r="J43" s="122">
        <f t="shared" si="0"/>
        <v>398.86</v>
      </c>
      <c r="K43" s="123">
        <f>J43*'Bases calculs conso habitat '!$B$7</f>
        <v>47.105366000000004</v>
      </c>
      <c r="L43" s="124">
        <f>J43*'Bases calculs conso habitat '!$B$5</f>
        <v>35.69797</v>
      </c>
      <c r="M43" s="124">
        <f>J43*'Bases calculs conso habitat '!$B$6</f>
        <v>52.33043200000001</v>
      </c>
      <c r="N43" s="124">
        <f>J43*3/10*'Bases calculs conso habitat '!$B$5+J43*7/10*'Bases calculs conso habitat '!$B$6</f>
        <v>47.3406934</v>
      </c>
      <c r="O43" s="129"/>
      <c r="P43" s="126"/>
      <c r="Q43" s="130"/>
      <c r="R43" s="130"/>
      <c r="S43" s="90">
        <f t="shared" si="3"/>
        <v>0</v>
      </c>
      <c r="T43" s="91">
        <f t="shared" si="4"/>
        <v>0</v>
      </c>
      <c r="U43" s="127" t="b">
        <f>FALSE</f>
        <v>0</v>
      </c>
      <c r="V43" s="101"/>
      <c r="W43" s="101" t="s">
        <v>746</v>
      </c>
    </row>
    <row r="44" spans="2:23" ht="18.75" customHeight="1">
      <c r="B44" s="508"/>
      <c r="C44" s="510"/>
      <c r="D44" s="118" t="s">
        <v>747</v>
      </c>
      <c r="E44" s="119"/>
      <c r="F44" s="120">
        <v>3.7</v>
      </c>
      <c r="G44" s="120" t="s">
        <v>736</v>
      </c>
      <c r="H44" s="121">
        <v>1.8</v>
      </c>
      <c r="I44" s="128"/>
      <c r="J44" s="122">
        <f t="shared" si="0"/>
        <v>326.34000000000003</v>
      </c>
      <c r="K44" s="123">
        <f>J44*'Bases calculs conso habitat '!$B$7</f>
        <v>38.540754</v>
      </c>
      <c r="L44" s="124">
        <f>J44*'Bases calculs conso habitat '!$B$5</f>
        <v>29.207430000000002</v>
      </c>
      <c r="M44" s="124">
        <f>J44*'Bases calculs conso habitat '!$B$6</f>
        <v>42.81580800000001</v>
      </c>
      <c r="N44" s="124">
        <f>J44*3/10*'Bases calculs conso habitat '!$B$5+J44*7/10*'Bases calculs conso habitat '!$B$6</f>
        <v>38.73329460000001</v>
      </c>
      <c r="O44" s="129"/>
      <c r="P44" s="126"/>
      <c r="Q44" s="130"/>
      <c r="R44" s="130"/>
      <c r="S44" s="90">
        <f t="shared" si="3"/>
        <v>0</v>
      </c>
      <c r="T44" s="91">
        <f t="shared" si="4"/>
        <v>0</v>
      </c>
      <c r="U44" s="127" t="b">
        <f>FALSE</f>
        <v>0</v>
      </c>
      <c r="V44" s="101"/>
      <c r="W44" s="101" t="s">
        <v>745</v>
      </c>
    </row>
    <row r="45" spans="2:23" ht="19.5" customHeight="1">
      <c r="B45" s="511" t="s">
        <v>748</v>
      </c>
      <c r="C45" s="510" t="s">
        <v>749</v>
      </c>
      <c r="D45" s="118" t="s">
        <v>735</v>
      </c>
      <c r="E45" s="30"/>
      <c r="F45" s="120"/>
      <c r="G45" s="120"/>
      <c r="H45" s="131"/>
      <c r="I45" s="128"/>
      <c r="J45" s="122">
        <v>270</v>
      </c>
      <c r="K45" s="123">
        <f>J45*'Bases calculs conso habitat '!$B$7</f>
        <v>31.887</v>
      </c>
      <c r="L45" s="124" t="s">
        <v>750</v>
      </c>
      <c r="M45" s="124" t="s">
        <v>750</v>
      </c>
      <c r="N45" s="124">
        <f>J45*3/10*'Bases calculs conso habitat '!$B$5+J45*7/10*'Bases calculs conso habitat '!$B$6</f>
        <v>32.0463</v>
      </c>
      <c r="O45" s="129"/>
      <c r="P45" s="126"/>
      <c r="Q45" s="130"/>
      <c r="R45" s="130"/>
      <c r="S45" s="90">
        <f>IF(U45&lt;2,0,(U45-1)*J45)</f>
        <v>0</v>
      </c>
      <c r="T45" s="91">
        <f>IF(U45&lt;2,0,IF($D$5="Simple tarif",(U45-1)*K45,(U45-1)*N45))</f>
        <v>0</v>
      </c>
      <c r="U45" s="132"/>
      <c r="V45" s="101"/>
      <c r="W45" s="101" t="s">
        <v>596</v>
      </c>
    </row>
    <row r="46" spans="2:23" ht="19.5" customHeight="1">
      <c r="B46" s="511"/>
      <c r="C46" s="510"/>
      <c r="D46" s="118" t="s">
        <v>738</v>
      </c>
      <c r="E46" s="30"/>
      <c r="F46" s="120"/>
      <c r="G46" s="120"/>
      <c r="H46" s="131"/>
      <c r="I46" s="128"/>
      <c r="J46" s="122">
        <v>253</v>
      </c>
      <c r="K46" s="123">
        <f>J46*'Bases calculs conso habitat '!$B$7</f>
        <v>29.8793</v>
      </c>
      <c r="L46" s="124" t="s">
        <v>750</v>
      </c>
      <c r="M46" s="124" t="s">
        <v>750</v>
      </c>
      <c r="N46" s="124">
        <f>J46*3/10*'Bases calculs conso habitat '!$B$5+J46*7/10*'Bases calculs conso habitat '!$B$6</f>
        <v>30.028570000000002</v>
      </c>
      <c r="O46" s="129"/>
      <c r="P46" s="126"/>
      <c r="Q46" s="130"/>
      <c r="R46" s="130"/>
      <c r="S46" s="90">
        <f aca="true" t="shared" si="5" ref="S46:S54">IF(U46&lt;2,0,(U46-1)*J46)</f>
        <v>253</v>
      </c>
      <c r="T46" s="91">
        <f aca="true" t="shared" si="6" ref="T46:T54">IF(U46&lt;2,0,IF($D$5="Simple tarif",(U46-1)*K46,(U46-1)*N46))</f>
        <v>30.028570000000002</v>
      </c>
      <c r="U46" s="132">
        <v>2</v>
      </c>
      <c r="V46" s="101"/>
      <c r="W46" s="101" t="s">
        <v>596</v>
      </c>
    </row>
    <row r="47" spans="2:23" ht="19.5" customHeight="1">
      <c r="B47" s="511"/>
      <c r="C47" s="510"/>
      <c r="D47" s="118" t="s">
        <v>597</v>
      </c>
      <c r="E47" s="30"/>
      <c r="F47" s="120"/>
      <c r="G47" s="120"/>
      <c r="H47" s="131"/>
      <c r="I47" s="128"/>
      <c r="J47" s="122">
        <v>160</v>
      </c>
      <c r="K47" s="123">
        <f>J47*'Bases calculs conso habitat '!$B$7</f>
        <v>18.896</v>
      </c>
      <c r="L47" s="124" t="s">
        <v>750</v>
      </c>
      <c r="M47" s="124" t="s">
        <v>750</v>
      </c>
      <c r="N47" s="124">
        <f>J47*3/10*'Bases calculs conso habitat '!$B$5+J47*7/10*'Bases calculs conso habitat '!$B$6</f>
        <v>18.9904</v>
      </c>
      <c r="O47" s="129"/>
      <c r="P47" s="126"/>
      <c r="Q47" s="130"/>
      <c r="R47" s="130"/>
      <c r="S47" s="90">
        <f t="shared" si="5"/>
        <v>0</v>
      </c>
      <c r="T47" s="91">
        <f t="shared" si="6"/>
        <v>0</v>
      </c>
      <c r="U47" s="132">
        <v>0</v>
      </c>
      <c r="V47" s="101"/>
      <c r="W47" s="101" t="s">
        <v>742</v>
      </c>
    </row>
    <row r="48" spans="2:23" ht="19.5" customHeight="1">
      <c r="B48" s="511"/>
      <c r="C48" s="512" t="s">
        <v>598</v>
      </c>
      <c r="D48" s="118" t="s">
        <v>735</v>
      </c>
      <c r="E48" s="30"/>
      <c r="F48" s="120"/>
      <c r="G48" s="120"/>
      <c r="H48" s="131"/>
      <c r="I48" s="128"/>
      <c r="J48" s="122">
        <v>556</v>
      </c>
      <c r="K48" s="123">
        <f>J48*'Bases calculs conso habitat '!$B$7</f>
        <v>65.6636</v>
      </c>
      <c r="L48" s="124" t="s">
        <v>750</v>
      </c>
      <c r="M48" s="124" t="s">
        <v>750</v>
      </c>
      <c r="N48" s="124">
        <f>J48*3/10*'Bases calculs conso habitat '!$B$5+J48*7/10*'Bases calculs conso habitat '!$B$6</f>
        <v>65.99164</v>
      </c>
      <c r="O48" s="129"/>
      <c r="P48" s="126"/>
      <c r="Q48" s="130"/>
      <c r="R48" s="130"/>
      <c r="S48" s="90">
        <f t="shared" si="5"/>
        <v>0</v>
      </c>
      <c r="T48" s="91">
        <f t="shared" si="6"/>
        <v>0</v>
      </c>
      <c r="U48" s="132">
        <v>0</v>
      </c>
      <c r="V48" s="101"/>
      <c r="W48" s="101" t="s">
        <v>596</v>
      </c>
    </row>
    <row r="49" spans="2:23" ht="19.5" customHeight="1">
      <c r="B49" s="511"/>
      <c r="C49" s="512"/>
      <c r="D49" s="118" t="s">
        <v>738</v>
      </c>
      <c r="E49" s="30"/>
      <c r="F49" s="120"/>
      <c r="G49" s="120"/>
      <c r="H49" s="131"/>
      <c r="I49" s="128"/>
      <c r="J49" s="122">
        <v>460</v>
      </c>
      <c r="K49" s="123">
        <f>J49*'Bases calculs conso habitat '!$B$7</f>
        <v>54.326</v>
      </c>
      <c r="L49" s="124"/>
      <c r="M49" s="124"/>
      <c r="N49" s="124">
        <f>J49*3/10*'Bases calculs conso habitat '!$B$5+J49*7/10*'Bases calculs conso habitat '!$B$6</f>
        <v>54.5974</v>
      </c>
      <c r="O49" s="129"/>
      <c r="P49" s="126"/>
      <c r="Q49" s="130"/>
      <c r="R49" s="130"/>
      <c r="S49" s="90">
        <f t="shared" si="5"/>
        <v>0</v>
      </c>
      <c r="T49" s="91">
        <f t="shared" si="6"/>
        <v>0</v>
      </c>
      <c r="U49" s="132"/>
      <c r="V49" s="101"/>
      <c r="W49" s="101" t="s">
        <v>596</v>
      </c>
    </row>
    <row r="50" spans="2:23" ht="19.5" customHeight="1">
      <c r="B50" s="511"/>
      <c r="C50" s="512"/>
      <c r="D50" s="118" t="s">
        <v>599</v>
      </c>
      <c r="E50" s="30"/>
      <c r="F50" s="120"/>
      <c r="G50" s="120"/>
      <c r="H50" s="131"/>
      <c r="I50" s="128"/>
      <c r="J50" s="122">
        <v>210.24</v>
      </c>
      <c r="K50" s="123">
        <f>J50*'Bases calculs conso habitat '!$B$7</f>
        <v>24.829344</v>
      </c>
      <c r="L50" s="124"/>
      <c r="M50" s="124"/>
      <c r="N50" s="124">
        <f>J50*3/10*'Bases calculs conso habitat '!$B$5+J50*7/10*'Bases calculs conso habitat '!$B$6</f>
        <v>24.9533856</v>
      </c>
      <c r="O50" s="129"/>
      <c r="P50" s="126"/>
      <c r="Q50" s="130"/>
      <c r="R50" s="130"/>
      <c r="S50" s="90">
        <f t="shared" si="5"/>
        <v>0</v>
      </c>
      <c r="T50" s="91">
        <f t="shared" si="6"/>
        <v>0</v>
      </c>
      <c r="U50" s="132">
        <v>0</v>
      </c>
      <c r="V50" s="101"/>
      <c r="W50" s="101" t="s">
        <v>742</v>
      </c>
    </row>
    <row r="51" spans="2:23" ht="19.5" customHeight="1">
      <c r="B51" s="511"/>
      <c r="C51" s="513" t="s">
        <v>600</v>
      </c>
      <c r="D51" s="118" t="s">
        <v>735</v>
      </c>
      <c r="E51" s="30"/>
      <c r="F51" s="120"/>
      <c r="G51" s="120"/>
      <c r="H51" s="131"/>
      <c r="I51" s="128"/>
      <c r="J51" s="122">
        <v>598</v>
      </c>
      <c r="K51" s="123">
        <f>J51*'Bases calculs conso habitat '!$B$7</f>
        <v>70.6238</v>
      </c>
      <c r="L51" s="124" t="s">
        <v>750</v>
      </c>
      <c r="M51" s="124" t="s">
        <v>750</v>
      </c>
      <c r="N51" s="124">
        <f>J51*3/10*'Bases calculs conso habitat '!$B$5+J51*7/10*'Bases calculs conso habitat '!$B$6</f>
        <v>70.97662000000001</v>
      </c>
      <c r="O51" s="129"/>
      <c r="P51" s="126"/>
      <c r="Q51" s="130"/>
      <c r="R51" s="130"/>
      <c r="S51" s="90">
        <f t="shared" si="5"/>
        <v>0</v>
      </c>
      <c r="T51" s="91">
        <f t="shared" si="6"/>
        <v>0</v>
      </c>
      <c r="U51" s="132">
        <v>0</v>
      </c>
      <c r="V51" s="101"/>
      <c r="W51" s="101" t="s">
        <v>596</v>
      </c>
    </row>
    <row r="52" spans="2:23" ht="19.5" customHeight="1">
      <c r="B52" s="511"/>
      <c r="C52" s="513"/>
      <c r="D52" s="118" t="s">
        <v>738</v>
      </c>
      <c r="E52" s="30"/>
      <c r="F52" s="120"/>
      <c r="G52" s="120"/>
      <c r="H52" s="131"/>
      <c r="I52" s="128"/>
      <c r="J52" s="122">
        <v>556</v>
      </c>
      <c r="K52" s="123">
        <f>J52*'Bases calculs conso habitat '!$B$7</f>
        <v>65.6636</v>
      </c>
      <c r="L52" s="124" t="s">
        <v>750</v>
      </c>
      <c r="M52" s="124" t="s">
        <v>750</v>
      </c>
      <c r="N52" s="124">
        <f>J52*3/10*'Bases calculs conso habitat '!$B$5+J52*7/10*'Bases calculs conso habitat '!$B$6</f>
        <v>65.99164</v>
      </c>
      <c r="O52" s="129"/>
      <c r="P52" s="126"/>
      <c r="Q52" s="130"/>
      <c r="R52" s="130"/>
      <c r="S52" s="90">
        <f t="shared" si="5"/>
        <v>0</v>
      </c>
      <c r="T52" s="91">
        <f t="shared" si="6"/>
        <v>0</v>
      </c>
      <c r="U52" s="132">
        <v>1</v>
      </c>
      <c r="V52" s="101"/>
      <c r="W52" s="101" t="s">
        <v>596</v>
      </c>
    </row>
    <row r="53" spans="2:23" ht="19.5" customHeight="1">
      <c r="B53" s="511"/>
      <c r="C53" s="513"/>
      <c r="D53" s="118" t="s">
        <v>601</v>
      </c>
      <c r="E53" s="30"/>
      <c r="F53" s="120"/>
      <c r="G53" s="120"/>
      <c r="H53" s="131"/>
      <c r="I53" s="128"/>
      <c r="J53" s="122">
        <v>248.784</v>
      </c>
      <c r="K53" s="123">
        <f>J53*'Bases calculs conso habitat '!$B$7</f>
        <v>29.381390399999997</v>
      </c>
      <c r="L53" s="124" t="s">
        <v>750</v>
      </c>
      <c r="M53" s="124" t="s">
        <v>750</v>
      </c>
      <c r="N53" s="124">
        <f>J53*3/10*'Bases calculs conso habitat '!$B$5+J53*7/10*'Bases calculs conso habitat '!$B$6</f>
        <v>29.52817296</v>
      </c>
      <c r="O53" s="129"/>
      <c r="P53" s="126"/>
      <c r="Q53" s="130"/>
      <c r="R53" s="130"/>
      <c r="S53" s="90">
        <f t="shared" si="5"/>
        <v>0</v>
      </c>
      <c r="T53" s="91">
        <f t="shared" si="6"/>
        <v>0</v>
      </c>
      <c r="U53" s="132">
        <v>0</v>
      </c>
      <c r="V53" s="101"/>
      <c r="W53" s="101" t="s">
        <v>742</v>
      </c>
    </row>
    <row r="54" spans="2:23" ht="19.5" customHeight="1">
      <c r="B54" s="511"/>
      <c r="C54" s="513"/>
      <c r="D54" s="133" t="s">
        <v>602</v>
      </c>
      <c r="E54" s="134"/>
      <c r="F54" s="135"/>
      <c r="G54" s="135"/>
      <c r="H54" s="136"/>
      <c r="I54" s="137"/>
      <c r="J54" s="138">
        <v>169.068</v>
      </c>
      <c r="K54" s="123">
        <f>J54*'Bases calculs conso habitat '!$B$7</f>
        <v>19.9669308</v>
      </c>
      <c r="L54" s="124" t="s">
        <v>750</v>
      </c>
      <c r="M54" s="124" t="s">
        <v>750</v>
      </c>
      <c r="N54" s="124">
        <f>J54*3/10*'Bases calculs conso habitat '!$B$5+J54*7/10*'Bases calculs conso habitat '!$B$6</f>
        <v>20.066680920000003</v>
      </c>
      <c r="O54" s="129"/>
      <c r="P54" s="126"/>
      <c r="Q54" s="139"/>
      <c r="R54" s="139"/>
      <c r="S54" s="90">
        <f t="shared" si="5"/>
        <v>0</v>
      </c>
      <c r="T54" s="91">
        <f t="shared" si="6"/>
        <v>0</v>
      </c>
      <c r="U54" s="132">
        <v>0</v>
      </c>
      <c r="V54" s="101"/>
      <c r="W54" s="101" t="s">
        <v>742</v>
      </c>
    </row>
    <row r="55" spans="2:23" ht="18.75" customHeight="1">
      <c r="B55" s="508" t="s">
        <v>603</v>
      </c>
      <c r="C55" s="513" t="s">
        <v>604</v>
      </c>
      <c r="D55" s="118"/>
      <c r="E55" s="30"/>
      <c r="F55" s="120">
        <v>4</v>
      </c>
      <c r="G55" s="120" t="s">
        <v>605</v>
      </c>
      <c r="H55" s="131">
        <v>2400</v>
      </c>
      <c r="I55" s="128"/>
      <c r="J55" s="122">
        <f>F55/2*H55*(52-$D$13)/1000</f>
        <v>235.2</v>
      </c>
      <c r="K55" s="123">
        <f>J55*'Bases calculs conso habitat '!$B$7</f>
        <v>27.777119999999996</v>
      </c>
      <c r="L55" s="124" t="s">
        <v>750</v>
      </c>
      <c r="M55" s="124">
        <f>J55*'Bases calculs conso habitat '!$B$6</f>
        <v>30.858240000000002</v>
      </c>
      <c r="N55" s="124" t="s">
        <v>750</v>
      </c>
      <c r="O55" s="129"/>
      <c r="P55" s="126"/>
      <c r="Q55" s="130"/>
      <c r="R55" s="130"/>
      <c r="S55" s="90">
        <f t="shared" si="3"/>
        <v>235.2</v>
      </c>
      <c r="T55" s="91">
        <f aca="true" t="shared" si="7" ref="T55:T68">IF(U55=FALSE,0,IF($D$5="Simple tarif",K55,M55))</f>
        <v>30.858240000000002</v>
      </c>
      <c r="U55" s="140" t="b">
        <f>TRUE</f>
        <v>1</v>
      </c>
      <c r="V55" s="141"/>
      <c r="W55" s="101" t="s">
        <v>606</v>
      </c>
    </row>
    <row r="56" spans="2:23" ht="18.75" customHeight="1">
      <c r="B56" s="508"/>
      <c r="C56" s="513"/>
      <c r="D56" s="118" t="s">
        <v>607</v>
      </c>
      <c r="E56" s="30"/>
      <c r="F56" s="120">
        <v>3</v>
      </c>
      <c r="G56" s="120" t="s">
        <v>608</v>
      </c>
      <c r="H56" s="121">
        <v>3.5</v>
      </c>
      <c r="I56" s="128"/>
      <c r="J56" s="122">
        <f>H56*(1/F56)*(52-$D$13)</f>
        <v>57.16666666666666</v>
      </c>
      <c r="K56" s="123">
        <f>J56*'Bases calculs conso habitat '!$B$7</f>
        <v>6.751383333333332</v>
      </c>
      <c r="L56" s="124" t="s">
        <v>750</v>
      </c>
      <c r="M56" s="124">
        <f>J56*'Bases calculs conso habitat '!$B$6</f>
        <v>7.500266666666666</v>
      </c>
      <c r="N56" s="124" t="s">
        <v>750</v>
      </c>
      <c r="O56" s="129"/>
      <c r="P56" s="126"/>
      <c r="Q56" s="130"/>
      <c r="R56" s="130"/>
      <c r="S56" s="90">
        <f t="shared" si="3"/>
        <v>0</v>
      </c>
      <c r="T56" s="91">
        <f t="shared" si="7"/>
        <v>0</v>
      </c>
      <c r="U56" s="142" t="b">
        <f>FALSE</f>
        <v>0</v>
      </c>
      <c r="V56" s="143"/>
      <c r="W56" s="101" t="s">
        <v>746</v>
      </c>
    </row>
    <row r="57" spans="2:23" ht="18.75" customHeight="1">
      <c r="B57" s="508"/>
      <c r="C57" s="144" t="s">
        <v>609</v>
      </c>
      <c r="D57" s="118"/>
      <c r="E57" s="30"/>
      <c r="F57" s="120">
        <v>2.3</v>
      </c>
      <c r="G57" s="120" t="s">
        <v>605</v>
      </c>
      <c r="H57" s="131">
        <v>1100</v>
      </c>
      <c r="I57" s="131"/>
      <c r="J57" s="122">
        <f>H57*3/4*F57*(52-$D$13)/1000</f>
        <v>92.97749999999999</v>
      </c>
      <c r="K57" s="123">
        <f>J57*'Bases calculs conso habitat '!$B$7</f>
        <v>10.98064275</v>
      </c>
      <c r="L57" s="124" t="s">
        <v>750</v>
      </c>
      <c r="M57" s="124">
        <f>J57*'Bases calculs conso habitat '!$B$6</f>
        <v>12.198648</v>
      </c>
      <c r="N57" s="124" t="s">
        <v>750</v>
      </c>
      <c r="O57" s="129"/>
      <c r="P57" s="126"/>
      <c r="Q57" s="130"/>
      <c r="R57" s="130"/>
      <c r="S57" s="90">
        <f t="shared" si="3"/>
        <v>0</v>
      </c>
      <c r="T57" s="91">
        <f t="shared" si="7"/>
        <v>0</v>
      </c>
      <c r="U57" s="142" t="b">
        <f>FALSE</f>
        <v>0</v>
      </c>
      <c r="V57" s="143"/>
      <c r="W57" s="101" t="s">
        <v>610</v>
      </c>
    </row>
    <row r="58" spans="2:23" ht="18.75" customHeight="1">
      <c r="B58" s="508"/>
      <c r="C58" s="144" t="s">
        <v>611</v>
      </c>
      <c r="D58" s="118"/>
      <c r="E58" s="30"/>
      <c r="F58" s="120">
        <v>12</v>
      </c>
      <c r="G58" s="120" t="s">
        <v>612</v>
      </c>
      <c r="H58" s="131">
        <v>800</v>
      </c>
      <c r="I58" s="128"/>
      <c r="J58" s="122">
        <f>H58*F58/60*7*(52-$D$13)/1000</f>
        <v>54.88</v>
      </c>
      <c r="K58" s="123">
        <f>J58*'Bases calculs conso habitat '!$B$7</f>
        <v>6.481328</v>
      </c>
      <c r="L58" s="124" t="s">
        <v>750</v>
      </c>
      <c r="M58" s="124">
        <f>J58*'Bases calculs conso habitat '!$B$6</f>
        <v>7.200256000000001</v>
      </c>
      <c r="N58" s="124" t="s">
        <v>750</v>
      </c>
      <c r="O58" s="129"/>
      <c r="P58" s="126"/>
      <c r="Q58" s="130"/>
      <c r="R58" s="130"/>
      <c r="S58" s="90">
        <f t="shared" si="3"/>
        <v>54.88</v>
      </c>
      <c r="T58" s="91">
        <f t="shared" si="7"/>
        <v>7.200256000000001</v>
      </c>
      <c r="U58" s="142" t="b">
        <f>TRUE</f>
        <v>1</v>
      </c>
      <c r="V58" s="143"/>
      <c r="W58" s="101" t="s">
        <v>746</v>
      </c>
    </row>
    <row r="59" spans="2:23" ht="18.75" customHeight="1">
      <c r="B59" s="508"/>
      <c r="C59" s="144" t="s">
        <v>613</v>
      </c>
      <c r="D59" s="118"/>
      <c r="E59" s="30"/>
      <c r="F59" s="120">
        <v>17</v>
      </c>
      <c r="G59" s="120" t="s">
        <v>612</v>
      </c>
      <c r="H59" s="131">
        <v>1100</v>
      </c>
      <c r="I59" s="128"/>
      <c r="J59" s="122">
        <f>H59*F59/60*7*(52-$D$13)/1000</f>
        <v>106.90166666666669</v>
      </c>
      <c r="K59" s="123">
        <f>J59*'Bases calculs conso habitat '!$B$7</f>
        <v>12.625086833333334</v>
      </c>
      <c r="L59" s="124" t="s">
        <v>750</v>
      </c>
      <c r="M59" s="124">
        <f>J59*'Bases calculs conso habitat '!$B$6</f>
        <v>14.025498666666671</v>
      </c>
      <c r="N59" s="124" t="s">
        <v>750</v>
      </c>
      <c r="O59" s="129"/>
      <c r="P59" s="126"/>
      <c r="Q59" s="130"/>
      <c r="R59" s="130"/>
      <c r="S59" s="90">
        <f t="shared" si="3"/>
        <v>0</v>
      </c>
      <c r="T59" s="91">
        <f t="shared" si="7"/>
        <v>0</v>
      </c>
      <c r="U59" s="142" t="b">
        <f>FALSE</f>
        <v>0</v>
      </c>
      <c r="V59" s="143"/>
      <c r="W59" s="101" t="s">
        <v>746</v>
      </c>
    </row>
    <row r="60" spans="2:23" ht="18.75" customHeight="1">
      <c r="B60" s="508"/>
      <c r="C60" s="510" t="s">
        <v>614</v>
      </c>
      <c r="D60" s="118" t="s">
        <v>615</v>
      </c>
      <c r="E60" s="30"/>
      <c r="F60" s="120">
        <v>3.5</v>
      </c>
      <c r="G60" s="120" t="s">
        <v>605</v>
      </c>
      <c r="H60" s="131">
        <v>1160</v>
      </c>
      <c r="I60" s="128"/>
      <c r="J60" s="122">
        <f>H60*F60*(52-$D$13)/1000</f>
        <v>198.94</v>
      </c>
      <c r="K60" s="123">
        <f>J60*'Bases calculs conso habitat '!$B$7</f>
        <v>23.494813999999998</v>
      </c>
      <c r="L60" s="124" t="s">
        <v>750</v>
      </c>
      <c r="M60" s="124">
        <f>J60*'Bases calculs conso habitat '!$B$6</f>
        <v>26.100928000000003</v>
      </c>
      <c r="N60" s="124" t="s">
        <v>750</v>
      </c>
      <c r="O60" s="129"/>
      <c r="P60" s="126"/>
      <c r="Q60" s="130"/>
      <c r="R60" s="130"/>
      <c r="S60" s="90">
        <f t="shared" si="3"/>
        <v>198.94</v>
      </c>
      <c r="T60" s="91">
        <f t="shared" si="7"/>
        <v>26.100928000000003</v>
      </c>
      <c r="U60" s="142" t="b">
        <f>TRUE</f>
        <v>1</v>
      </c>
      <c r="V60" s="143"/>
      <c r="W60" s="101" t="s">
        <v>616</v>
      </c>
    </row>
    <row r="61" spans="2:23" ht="18.75" customHeight="1">
      <c r="B61" s="508"/>
      <c r="C61" s="510"/>
      <c r="D61" s="118" t="s">
        <v>617</v>
      </c>
      <c r="E61" s="30"/>
      <c r="F61" s="120">
        <v>3.5</v>
      </c>
      <c r="G61" s="120" t="s">
        <v>605</v>
      </c>
      <c r="H61" s="131">
        <v>1000</v>
      </c>
      <c r="I61" s="128"/>
      <c r="J61" s="122">
        <f>H61*F61*(52-$D$13)/1000</f>
        <v>171.5</v>
      </c>
      <c r="K61" s="123">
        <f>J61*'Bases calculs conso habitat '!$B$7</f>
        <v>20.25415</v>
      </c>
      <c r="L61" s="124" t="s">
        <v>750</v>
      </c>
      <c r="M61" s="124">
        <f>J61*'Bases calculs conso habitat '!$B$6</f>
        <v>22.5008</v>
      </c>
      <c r="N61" s="124" t="s">
        <v>750</v>
      </c>
      <c r="O61" s="129"/>
      <c r="P61" s="126"/>
      <c r="Q61" s="130"/>
      <c r="R61" s="130"/>
      <c r="S61" s="90">
        <f t="shared" si="3"/>
        <v>0</v>
      </c>
      <c r="T61" s="91">
        <f t="shared" si="7"/>
        <v>0</v>
      </c>
      <c r="U61" s="142" t="b">
        <f>FALSE</f>
        <v>0</v>
      </c>
      <c r="V61" s="143"/>
      <c r="W61" s="101" t="s">
        <v>618</v>
      </c>
    </row>
    <row r="62" spans="2:23" ht="18.75" customHeight="1">
      <c r="B62" s="508"/>
      <c r="C62" s="510"/>
      <c r="D62" s="118" t="s">
        <v>619</v>
      </c>
      <c r="E62" s="30"/>
      <c r="F62" s="120">
        <v>3.5</v>
      </c>
      <c r="G62" s="120" t="s">
        <v>605</v>
      </c>
      <c r="H62" s="131">
        <v>590</v>
      </c>
      <c r="I62" s="128"/>
      <c r="J62" s="122">
        <f>H62*F62*(52-$D$13)/1000</f>
        <v>101.185</v>
      </c>
      <c r="K62" s="123">
        <f>J62*'Bases calculs conso habitat '!$B$7</f>
        <v>11.9499485</v>
      </c>
      <c r="L62" s="124" t="s">
        <v>750</v>
      </c>
      <c r="M62" s="124">
        <f>J62*'Bases calculs conso habitat '!$B$6</f>
        <v>13.275472</v>
      </c>
      <c r="N62" s="124" t="s">
        <v>750</v>
      </c>
      <c r="O62" s="129"/>
      <c r="P62" s="126"/>
      <c r="Q62" s="130"/>
      <c r="R62" s="130"/>
      <c r="S62" s="90">
        <f t="shared" si="3"/>
        <v>0</v>
      </c>
      <c r="T62" s="91">
        <f t="shared" si="7"/>
        <v>0</v>
      </c>
      <c r="U62" s="145" t="b">
        <f>FALSE</f>
        <v>0</v>
      </c>
      <c r="V62" s="146"/>
      <c r="W62" s="101" t="s">
        <v>620</v>
      </c>
    </row>
    <row r="63" spans="2:23" ht="18.75" customHeight="1">
      <c r="B63" s="508" t="s">
        <v>621</v>
      </c>
      <c r="C63" s="144" t="s">
        <v>622</v>
      </c>
      <c r="D63" s="118"/>
      <c r="E63" s="30"/>
      <c r="F63" s="120">
        <v>10</v>
      </c>
      <c r="G63" s="120" t="s">
        <v>612</v>
      </c>
      <c r="H63" s="131">
        <v>1000</v>
      </c>
      <c r="I63" s="128"/>
      <c r="J63" s="122">
        <f>H63*F63/60*7*(52-$D$13)/1000</f>
        <v>57.16666666666666</v>
      </c>
      <c r="K63" s="123">
        <f>J63*'Bases calculs conso habitat '!$B$7</f>
        <v>6.751383333333332</v>
      </c>
      <c r="L63" s="124" t="s">
        <v>750</v>
      </c>
      <c r="M63" s="124">
        <f>J63*'Bases calculs conso habitat '!$B$6</f>
        <v>7.500266666666666</v>
      </c>
      <c r="N63" s="124" t="s">
        <v>750</v>
      </c>
      <c r="O63" s="129"/>
      <c r="P63" s="126"/>
      <c r="Q63" s="130"/>
      <c r="R63" s="130"/>
      <c r="S63" s="90">
        <f t="shared" si="3"/>
        <v>57.16666666666666</v>
      </c>
      <c r="T63" s="91">
        <f t="shared" si="7"/>
        <v>7.500266666666666</v>
      </c>
      <c r="U63" s="140" t="b">
        <f>TRUE</f>
        <v>1</v>
      </c>
      <c r="V63" s="141"/>
      <c r="W63" s="101" t="s">
        <v>623</v>
      </c>
    </row>
    <row r="64" spans="2:23" ht="18.75" customHeight="1">
      <c r="B64" s="508"/>
      <c r="C64" s="144" t="s">
        <v>624</v>
      </c>
      <c r="D64" s="118" t="s">
        <v>625</v>
      </c>
      <c r="E64" s="30"/>
      <c r="F64" s="120">
        <v>1</v>
      </c>
      <c r="G64" s="120" t="s">
        <v>626</v>
      </c>
      <c r="H64" s="121">
        <v>0.1</v>
      </c>
      <c r="I64" s="121"/>
      <c r="J64" s="122">
        <f>H64*F64*7*(52-$D$13)</f>
        <v>34.300000000000004</v>
      </c>
      <c r="K64" s="123">
        <f>J64*'Bases calculs conso habitat '!$B$7</f>
        <v>4.05083</v>
      </c>
      <c r="L64" s="124" t="s">
        <v>750</v>
      </c>
      <c r="M64" s="124">
        <f>J64*'Bases calculs conso habitat '!$B$6</f>
        <v>4.500160000000001</v>
      </c>
      <c r="N64" s="124" t="s">
        <v>750</v>
      </c>
      <c r="O64" s="129"/>
      <c r="P64" s="126"/>
      <c r="Q64" s="130"/>
      <c r="R64" s="130"/>
      <c r="S64" s="90">
        <f t="shared" si="3"/>
        <v>34.300000000000004</v>
      </c>
      <c r="T64" s="91">
        <f t="shared" si="7"/>
        <v>4.500160000000001</v>
      </c>
      <c r="U64" s="142" t="b">
        <f>TRUE</f>
        <v>1</v>
      </c>
      <c r="V64" s="143"/>
      <c r="W64" s="101" t="s">
        <v>627</v>
      </c>
    </row>
    <row r="65" spans="2:23" ht="18.75" customHeight="1">
      <c r="B65" s="508"/>
      <c r="C65" s="144" t="s">
        <v>628</v>
      </c>
      <c r="D65" s="118"/>
      <c r="E65" s="30"/>
      <c r="F65" s="120">
        <v>3</v>
      </c>
      <c r="G65" s="120" t="s">
        <v>612</v>
      </c>
      <c r="H65" s="131">
        <v>900</v>
      </c>
      <c r="I65" s="128"/>
      <c r="J65" s="122">
        <f>H65*F65/60*7*(52-$D$13)/1000</f>
        <v>15.435</v>
      </c>
      <c r="K65" s="123">
        <f>J65*'Bases calculs conso habitat '!$B$7</f>
        <v>1.8228735</v>
      </c>
      <c r="L65" s="124" t="s">
        <v>750</v>
      </c>
      <c r="M65" s="124">
        <f>J65*'Bases calculs conso habitat '!$B$6</f>
        <v>2.025072</v>
      </c>
      <c r="N65" s="124" t="s">
        <v>750</v>
      </c>
      <c r="O65" s="129"/>
      <c r="P65" s="126"/>
      <c r="Q65" s="130"/>
      <c r="R65" s="130"/>
      <c r="S65" s="90">
        <f t="shared" si="3"/>
        <v>0</v>
      </c>
      <c r="T65" s="91">
        <f t="shared" si="7"/>
        <v>0</v>
      </c>
      <c r="U65" s="142" t="b">
        <f>FALSE</f>
        <v>0</v>
      </c>
      <c r="V65" s="143"/>
      <c r="W65" s="101" t="s">
        <v>629</v>
      </c>
    </row>
    <row r="66" spans="2:23" ht="18.75" customHeight="1">
      <c r="B66" s="508"/>
      <c r="C66" s="144" t="s">
        <v>630</v>
      </c>
      <c r="D66" s="118"/>
      <c r="E66" s="30"/>
      <c r="F66" s="120">
        <v>1.5</v>
      </c>
      <c r="G66" s="120" t="s">
        <v>605</v>
      </c>
      <c r="H66" s="131">
        <v>2000</v>
      </c>
      <c r="I66" s="128"/>
      <c r="J66" s="122">
        <f>H66/4*F66*(52-$D$13)/1000</f>
        <v>36.75</v>
      </c>
      <c r="K66" s="123">
        <f>J66*'Bases calculs conso habitat '!$B$7</f>
        <v>4.3401749999999995</v>
      </c>
      <c r="L66" s="124" t="s">
        <v>750</v>
      </c>
      <c r="M66" s="124">
        <f>J66*'Bases calculs conso habitat '!$B$6</f>
        <v>4.8216</v>
      </c>
      <c r="N66" s="124" t="s">
        <v>750</v>
      </c>
      <c r="O66" s="129"/>
      <c r="P66" s="126"/>
      <c r="Q66" s="130"/>
      <c r="R66" s="130"/>
      <c r="S66" s="90">
        <f t="shared" si="3"/>
        <v>36.75</v>
      </c>
      <c r="T66" s="91">
        <f t="shared" si="7"/>
        <v>4.8216</v>
      </c>
      <c r="U66" s="142" t="b">
        <f>TRUE</f>
        <v>1</v>
      </c>
      <c r="V66" s="143"/>
      <c r="W66" s="101" t="s">
        <v>627</v>
      </c>
    </row>
    <row r="67" spans="2:23" ht="18.75" customHeight="1">
      <c r="B67" s="508"/>
      <c r="C67" s="144" t="s">
        <v>631</v>
      </c>
      <c r="D67" s="118"/>
      <c r="E67" s="30"/>
      <c r="F67" s="120">
        <v>30</v>
      </c>
      <c r="G67" s="120" t="s">
        <v>632</v>
      </c>
      <c r="H67" s="131">
        <v>1000</v>
      </c>
      <c r="I67" s="128"/>
      <c r="J67" s="122">
        <f>H67*F67/60*(52-$D$13)/1000</f>
        <v>24.5</v>
      </c>
      <c r="K67" s="123">
        <f>J67*'Bases calculs conso habitat '!$B$7</f>
        <v>2.89345</v>
      </c>
      <c r="L67" s="124" t="s">
        <v>750</v>
      </c>
      <c r="M67" s="124">
        <f>J67*'Bases calculs conso habitat '!$B$6</f>
        <v>3.2144000000000004</v>
      </c>
      <c r="N67" s="124" t="s">
        <v>750</v>
      </c>
      <c r="O67" s="129"/>
      <c r="P67" s="126"/>
      <c r="Q67" s="130"/>
      <c r="R67" s="130"/>
      <c r="S67" s="90">
        <f t="shared" si="3"/>
        <v>0</v>
      </c>
      <c r="T67" s="91">
        <f t="shared" si="7"/>
        <v>0</v>
      </c>
      <c r="U67" s="142" t="b">
        <f>FALSE</f>
        <v>0</v>
      </c>
      <c r="V67" s="143"/>
      <c r="W67" s="101" t="s">
        <v>629</v>
      </c>
    </row>
    <row r="68" spans="2:23" ht="18.75" customHeight="1">
      <c r="B68" s="508"/>
      <c r="C68" s="144" t="s">
        <v>633</v>
      </c>
      <c r="D68" s="118"/>
      <c r="E68" s="30"/>
      <c r="F68" s="120">
        <v>30</v>
      </c>
      <c r="G68" s="120" t="s">
        <v>632</v>
      </c>
      <c r="H68" s="131">
        <v>1300</v>
      </c>
      <c r="I68" s="128"/>
      <c r="J68" s="122">
        <f>H68*F68/60*(52-$D$13)/1000</f>
        <v>31.85</v>
      </c>
      <c r="K68" s="123">
        <f>J68*'Bases calculs conso habitat '!$B$7</f>
        <v>3.761485</v>
      </c>
      <c r="L68" s="124" t="s">
        <v>750</v>
      </c>
      <c r="M68" s="124">
        <f>J68*'Bases calculs conso habitat '!$B$6</f>
        <v>4.17872</v>
      </c>
      <c r="N68" s="124" t="s">
        <v>750</v>
      </c>
      <c r="O68" s="129"/>
      <c r="P68" s="126"/>
      <c r="Q68" s="130"/>
      <c r="R68" s="130"/>
      <c r="S68" s="90">
        <f t="shared" si="3"/>
        <v>31.85</v>
      </c>
      <c r="T68" s="91">
        <f t="shared" si="7"/>
        <v>4.17872</v>
      </c>
      <c r="U68" s="145" t="b">
        <f>TRUE</f>
        <v>1</v>
      </c>
      <c r="V68" s="146"/>
      <c r="W68" s="101" t="s">
        <v>629</v>
      </c>
    </row>
    <row r="69" spans="2:23" ht="18.75" customHeight="1">
      <c r="B69" s="508" t="s">
        <v>634</v>
      </c>
      <c r="C69" s="147" t="s">
        <v>635</v>
      </c>
      <c r="D69" s="118"/>
      <c r="E69" s="148">
        <v>1</v>
      </c>
      <c r="F69" s="120">
        <v>3</v>
      </c>
      <c r="G69" s="120" t="s">
        <v>636</v>
      </c>
      <c r="H69" s="131">
        <v>300</v>
      </c>
      <c r="I69" s="128"/>
      <c r="J69" s="122">
        <f>E69*F69*H69/1000*7*(52-$D$13)</f>
        <v>308.7</v>
      </c>
      <c r="K69" s="123">
        <f>J69*'Bases calculs conso habitat '!$B$7</f>
        <v>36.45747</v>
      </c>
      <c r="L69" s="124" t="s">
        <v>750</v>
      </c>
      <c r="M69" s="124">
        <f>J69*'Bases calculs conso habitat '!$B$6</f>
        <v>40.50144</v>
      </c>
      <c r="N69" s="124" t="s">
        <v>750</v>
      </c>
      <c r="O69" s="129"/>
      <c r="P69" s="126"/>
      <c r="Q69" s="130"/>
      <c r="R69" s="130"/>
      <c r="S69" s="94">
        <f>J69</f>
        <v>308.7</v>
      </c>
      <c r="T69" s="91">
        <f>IF($D$5="Simple tarif",K69,M69)</f>
        <v>40.50144</v>
      </c>
      <c r="U69" s="149"/>
      <c r="V69" s="143"/>
      <c r="W69" s="101" t="s">
        <v>629</v>
      </c>
    </row>
    <row r="70" spans="2:23" ht="18.75" customHeight="1">
      <c r="B70" s="508"/>
      <c r="C70" s="147" t="s">
        <v>637</v>
      </c>
      <c r="D70" s="118"/>
      <c r="E70" s="148">
        <v>0</v>
      </c>
      <c r="F70" s="120">
        <v>3</v>
      </c>
      <c r="G70" s="120" t="s">
        <v>636</v>
      </c>
      <c r="H70" s="131">
        <v>75</v>
      </c>
      <c r="I70" s="128"/>
      <c r="J70" s="122">
        <f aca="true" t="shared" si="8" ref="J70:J75">E70*F70*H70/1000*7*(52-$D$13)</f>
        <v>0</v>
      </c>
      <c r="K70" s="123">
        <f>J70*'Bases calculs conso habitat '!$B$7</f>
        <v>0</v>
      </c>
      <c r="L70" s="124" t="s">
        <v>750</v>
      </c>
      <c r="M70" s="124">
        <f>J70*'Bases calculs conso habitat '!$B$6</f>
        <v>0</v>
      </c>
      <c r="N70" s="124" t="s">
        <v>750</v>
      </c>
      <c r="O70" s="129"/>
      <c r="P70" s="126"/>
      <c r="Q70" s="130"/>
      <c r="R70" s="130"/>
      <c r="S70" s="94">
        <f aca="true" t="shared" si="9" ref="S70:S75">J70</f>
        <v>0</v>
      </c>
      <c r="T70" s="91">
        <f aca="true" t="shared" si="10" ref="T70:T75">IF($D$5="Simple tarif",K70,M70)</f>
        <v>0</v>
      </c>
      <c r="U70" s="150"/>
      <c r="V70" s="141"/>
      <c r="W70" s="101" t="s">
        <v>629</v>
      </c>
    </row>
    <row r="71" spans="2:23" ht="18.75" customHeight="1">
      <c r="B71" s="508"/>
      <c r="C71" s="147" t="s">
        <v>638</v>
      </c>
      <c r="D71" s="118"/>
      <c r="E71" s="148">
        <v>2</v>
      </c>
      <c r="F71" s="120">
        <v>3</v>
      </c>
      <c r="G71" s="120" t="s">
        <v>636</v>
      </c>
      <c r="H71" s="131">
        <v>60</v>
      </c>
      <c r="I71" s="128"/>
      <c r="J71" s="122">
        <f t="shared" si="8"/>
        <v>123.48</v>
      </c>
      <c r="K71" s="123">
        <f>J71*'Bases calculs conso habitat '!$B$7</f>
        <v>14.582988</v>
      </c>
      <c r="L71" s="124" t="s">
        <v>750</v>
      </c>
      <c r="M71" s="124">
        <f>J71*'Bases calculs conso habitat '!$B$6</f>
        <v>16.200576</v>
      </c>
      <c r="N71" s="124" t="s">
        <v>750</v>
      </c>
      <c r="O71" s="129"/>
      <c r="P71" s="126"/>
      <c r="Q71" s="130"/>
      <c r="R71" s="130"/>
      <c r="S71" s="94">
        <f t="shared" si="9"/>
        <v>123.48</v>
      </c>
      <c r="T71" s="91">
        <f t="shared" si="10"/>
        <v>16.200576</v>
      </c>
      <c r="U71" s="149"/>
      <c r="V71" s="143"/>
      <c r="W71" s="101" t="s">
        <v>629</v>
      </c>
    </row>
    <row r="72" spans="2:23" ht="18.75" customHeight="1">
      <c r="B72" s="508"/>
      <c r="C72" s="147" t="s">
        <v>639</v>
      </c>
      <c r="D72" s="118"/>
      <c r="E72" s="148">
        <v>1</v>
      </c>
      <c r="F72" s="120">
        <v>3</v>
      </c>
      <c r="G72" s="120" t="s">
        <v>636</v>
      </c>
      <c r="H72" s="131">
        <v>40</v>
      </c>
      <c r="I72" s="128"/>
      <c r="J72" s="122">
        <f t="shared" si="8"/>
        <v>41.16</v>
      </c>
      <c r="K72" s="123">
        <f>J72*'Bases calculs conso habitat '!$B$7</f>
        <v>4.860995999999999</v>
      </c>
      <c r="L72" s="124" t="s">
        <v>750</v>
      </c>
      <c r="M72" s="124">
        <f>J72*'Bases calculs conso habitat '!$B$6</f>
        <v>5.400192</v>
      </c>
      <c r="N72" s="124" t="s">
        <v>750</v>
      </c>
      <c r="O72" s="129"/>
      <c r="P72" s="126"/>
      <c r="Q72" s="130"/>
      <c r="R72" s="130"/>
      <c r="S72" s="94">
        <f t="shared" si="9"/>
        <v>41.16</v>
      </c>
      <c r="T72" s="91">
        <f t="shared" si="10"/>
        <v>5.400192</v>
      </c>
      <c r="U72" s="149"/>
      <c r="V72" s="143"/>
      <c r="W72" s="101" t="s">
        <v>629</v>
      </c>
    </row>
    <row r="73" spans="2:23" ht="18.75" customHeight="1">
      <c r="B73" s="508"/>
      <c r="C73" s="147" t="s">
        <v>640</v>
      </c>
      <c r="D73" s="118"/>
      <c r="E73" s="148">
        <v>3</v>
      </c>
      <c r="F73" s="120">
        <v>3</v>
      </c>
      <c r="G73" s="120" t="s">
        <v>636</v>
      </c>
      <c r="H73" s="131">
        <v>20</v>
      </c>
      <c r="I73" s="128"/>
      <c r="J73" s="122">
        <f>E73*F73*H73/1000*7*(52-$D$13)</f>
        <v>61.74</v>
      </c>
      <c r="K73" s="123">
        <f>J73*'Bases calculs conso habitat '!$B$7</f>
        <v>7.291494</v>
      </c>
      <c r="L73" s="124" t="s">
        <v>750</v>
      </c>
      <c r="M73" s="124">
        <f>J73*'Bases calculs conso habitat '!$B$6</f>
        <v>8.100288</v>
      </c>
      <c r="N73" s="124" t="s">
        <v>750</v>
      </c>
      <c r="O73" s="129"/>
      <c r="P73" s="126"/>
      <c r="Q73" s="130"/>
      <c r="R73" s="130"/>
      <c r="S73" s="94">
        <f>J73</f>
        <v>61.74</v>
      </c>
      <c r="T73" s="91">
        <f>IF($D$5="Simple tarif",K73,M73)</f>
        <v>8.100288</v>
      </c>
      <c r="U73" s="149"/>
      <c r="V73" s="143"/>
      <c r="W73" s="101" t="s">
        <v>629</v>
      </c>
    </row>
    <row r="74" spans="2:23" ht="18.75" customHeight="1">
      <c r="B74" s="508"/>
      <c r="C74" s="144" t="s">
        <v>641</v>
      </c>
      <c r="D74" s="118"/>
      <c r="E74" s="148">
        <v>2</v>
      </c>
      <c r="F74" s="120">
        <v>3</v>
      </c>
      <c r="G74" s="120" t="s">
        <v>636</v>
      </c>
      <c r="H74" s="131">
        <v>15</v>
      </c>
      <c r="I74" s="128"/>
      <c r="J74" s="122">
        <f>E74*F74*H74/1000*7*(52-$D$13)</f>
        <v>30.87</v>
      </c>
      <c r="K74" s="123">
        <f>J74*'Bases calculs conso habitat '!$B$7</f>
        <v>3.645747</v>
      </c>
      <c r="L74" s="124" t="s">
        <v>750</v>
      </c>
      <c r="M74" s="124">
        <f>J74*'Bases calculs conso habitat '!$B$6</f>
        <v>4.050144</v>
      </c>
      <c r="N74" s="124" t="s">
        <v>750</v>
      </c>
      <c r="O74" s="129"/>
      <c r="P74" s="126"/>
      <c r="Q74" s="130"/>
      <c r="R74" s="130"/>
      <c r="S74" s="94">
        <f>J74</f>
        <v>30.87</v>
      </c>
      <c r="T74" s="91">
        <f>IF($D$5="Simple tarif",K74,M74)</f>
        <v>4.050144</v>
      </c>
      <c r="U74" s="151"/>
      <c r="V74" s="146"/>
      <c r="W74" s="101" t="s">
        <v>629</v>
      </c>
    </row>
    <row r="75" spans="2:23" ht="18.75" customHeight="1">
      <c r="B75" s="508"/>
      <c r="C75" s="147" t="s">
        <v>642</v>
      </c>
      <c r="D75" s="118"/>
      <c r="E75" s="148">
        <v>0</v>
      </c>
      <c r="F75" s="120">
        <v>3</v>
      </c>
      <c r="G75" s="120" t="s">
        <v>636</v>
      </c>
      <c r="H75" s="131">
        <v>11</v>
      </c>
      <c r="I75" s="128"/>
      <c r="J75" s="122">
        <f t="shared" si="8"/>
        <v>0</v>
      </c>
      <c r="K75" s="123">
        <f>J75*'Bases calculs conso habitat '!$B$7</f>
        <v>0</v>
      </c>
      <c r="L75" s="124" t="s">
        <v>750</v>
      </c>
      <c r="M75" s="124">
        <f>J75*'Bases calculs conso habitat '!$B$6</f>
        <v>0</v>
      </c>
      <c r="N75" s="124" t="s">
        <v>750</v>
      </c>
      <c r="O75" s="129"/>
      <c r="P75" s="126"/>
      <c r="Q75" s="130"/>
      <c r="R75" s="130"/>
      <c r="S75" s="94">
        <f t="shared" si="9"/>
        <v>0</v>
      </c>
      <c r="T75" s="91">
        <f t="shared" si="10"/>
        <v>0</v>
      </c>
      <c r="U75" s="149"/>
      <c r="V75" s="143"/>
      <c r="W75" s="101" t="s">
        <v>629</v>
      </c>
    </row>
    <row r="76" spans="2:23" ht="18.75" customHeight="1">
      <c r="B76" s="508"/>
      <c r="C76" s="147" t="s">
        <v>643</v>
      </c>
      <c r="D76" s="118"/>
      <c r="E76" s="148">
        <v>0</v>
      </c>
      <c r="F76" s="120">
        <v>3</v>
      </c>
      <c r="G76" s="120" t="s">
        <v>636</v>
      </c>
      <c r="H76" s="131">
        <v>8</v>
      </c>
      <c r="I76" s="128"/>
      <c r="J76" s="122">
        <f>E76*F76*H76/1000*7*(52-$D$13)</f>
        <v>0</v>
      </c>
      <c r="K76" s="123">
        <f>J76*'Bases calculs conso habitat '!$B$7</f>
        <v>0</v>
      </c>
      <c r="L76" s="124" t="s">
        <v>750</v>
      </c>
      <c r="M76" s="124">
        <f>J76*'Bases calculs conso habitat '!$B$6</f>
        <v>0</v>
      </c>
      <c r="N76" s="124" t="s">
        <v>750</v>
      </c>
      <c r="O76" s="129"/>
      <c r="P76" s="126"/>
      <c r="Q76" s="130"/>
      <c r="R76" s="130"/>
      <c r="S76" s="94">
        <f>J76</f>
        <v>0</v>
      </c>
      <c r="T76" s="91">
        <f>IF($D$5="Simple tarif",K76,M76)</f>
        <v>0</v>
      </c>
      <c r="U76" s="149"/>
      <c r="V76" s="143"/>
      <c r="W76" s="101" t="s">
        <v>629</v>
      </c>
    </row>
    <row r="77" spans="2:23" ht="18.75" customHeight="1">
      <c r="B77" s="508" t="s">
        <v>644</v>
      </c>
      <c r="C77" s="514" t="s">
        <v>645</v>
      </c>
      <c r="D77" s="118" t="s">
        <v>646</v>
      </c>
      <c r="E77" s="30"/>
      <c r="F77" s="120">
        <v>5.5</v>
      </c>
      <c r="G77" s="120" t="s">
        <v>636</v>
      </c>
      <c r="H77" s="131">
        <v>65</v>
      </c>
      <c r="I77" s="131"/>
      <c r="J77" s="122">
        <f>H77*F77*7*(52-$D$13)/1000</f>
        <v>122.6225</v>
      </c>
      <c r="K77" s="123">
        <f>J77*'Bases calculs conso habitat '!$B$7</f>
        <v>14.481717249999999</v>
      </c>
      <c r="L77" s="124" t="s">
        <v>750</v>
      </c>
      <c r="M77" s="124">
        <f>J77*'Bases calculs conso habitat '!$B$6</f>
        <v>16.088072</v>
      </c>
      <c r="N77" s="124" t="s">
        <v>750</v>
      </c>
      <c r="O77" s="129"/>
      <c r="P77" s="126"/>
      <c r="Q77" s="130"/>
      <c r="R77" s="130"/>
      <c r="S77" s="90">
        <f>IF(U77&lt;1,0,(U77-1)*J77)</f>
        <v>0</v>
      </c>
      <c r="T77" s="91">
        <f>IF(U77&lt;1,0,IF($D$5="Simple tarif",(U77-1)*K77,(U77-1)*M77))</f>
        <v>0</v>
      </c>
      <c r="U77" s="150"/>
      <c r="V77" s="141"/>
      <c r="W77" s="152" t="s">
        <v>647</v>
      </c>
    </row>
    <row r="78" spans="2:23" ht="18.75" customHeight="1">
      <c r="B78" s="508"/>
      <c r="C78" s="514"/>
      <c r="D78" s="153" t="s">
        <v>648</v>
      </c>
      <c r="E78" s="154"/>
      <c r="F78" s="120"/>
      <c r="G78" s="120"/>
      <c r="H78" s="131">
        <v>3.1</v>
      </c>
      <c r="I78" s="131"/>
      <c r="J78" s="122">
        <f>H78*(24-F77)*7*(52-$D$13)/1000</f>
        <v>19.67105</v>
      </c>
      <c r="K78" s="123">
        <f>J78*'Bases calculs conso habitat '!$B$7</f>
        <v>2.323151005</v>
      </c>
      <c r="L78" s="124" t="s">
        <v>750</v>
      </c>
      <c r="M78" s="124" t="s">
        <v>750</v>
      </c>
      <c r="N78" s="124">
        <f>J78*3/10*'Bases calculs conso habitat '!$B$5+J78*7/10*'Bases calculs conso habitat '!$B$6</f>
        <v>2.3347569245</v>
      </c>
      <c r="O78" s="129"/>
      <c r="P78" s="126"/>
      <c r="Q78" s="130"/>
      <c r="R78" s="130"/>
      <c r="S78" s="90">
        <f aca="true" t="shared" si="11" ref="S78:S116">IF(U78=FALSE,0,J78)</f>
        <v>0</v>
      </c>
      <c r="T78" s="91">
        <f>IF(U78=FALSE,0,IF($D$5="Simple tarif",K78,N78))</f>
        <v>0</v>
      </c>
      <c r="U78" s="149" t="b">
        <f>AND(U77&gt;1,$D$9="non")</f>
        <v>0</v>
      </c>
      <c r="V78" s="143"/>
      <c r="W78" s="152" t="s">
        <v>649</v>
      </c>
    </row>
    <row r="79" spans="2:23" ht="19.5" customHeight="1">
      <c r="B79" s="508"/>
      <c r="C79" s="514"/>
      <c r="D79" s="118" t="s">
        <v>650</v>
      </c>
      <c r="E79" s="30"/>
      <c r="F79" s="120">
        <v>5.9</v>
      </c>
      <c r="G79" s="120" t="s">
        <v>636</v>
      </c>
      <c r="H79" s="131">
        <v>100</v>
      </c>
      <c r="I79" s="131"/>
      <c r="J79" s="122">
        <f aca="true" t="shared" si="12" ref="J79:J85">H79*F79*7*(52-$D$13)/1000</f>
        <v>202.37</v>
      </c>
      <c r="K79" s="123">
        <f>J79*'Bases calculs conso habitat '!$B$7</f>
        <v>23.899897</v>
      </c>
      <c r="L79" s="124" t="s">
        <v>750</v>
      </c>
      <c r="M79" s="124">
        <f>J79*'Bases calculs conso habitat '!$B$6</f>
        <v>26.550944</v>
      </c>
      <c r="N79" s="124" t="s">
        <v>750</v>
      </c>
      <c r="O79" s="129"/>
      <c r="P79" s="126"/>
      <c r="Q79" s="130"/>
      <c r="R79" s="130"/>
      <c r="S79" s="90">
        <f>IF(U79&lt;1,0,(U79-1)*J79)</f>
        <v>202.37</v>
      </c>
      <c r="T79" s="91">
        <f>IF(U79&lt;1,0,IF($D$5="Simple tarif",(U79-1)*K79,(U79-1)*M79))</f>
        <v>26.550944</v>
      </c>
      <c r="U79" s="149">
        <v>2</v>
      </c>
      <c r="V79" s="143"/>
      <c r="W79" s="152" t="s">
        <v>651</v>
      </c>
    </row>
    <row r="80" spans="2:23" ht="19.5" customHeight="1">
      <c r="B80" s="508"/>
      <c r="C80" s="514"/>
      <c r="D80" s="118" t="s">
        <v>652</v>
      </c>
      <c r="E80" s="30"/>
      <c r="F80" s="120">
        <v>5.9</v>
      </c>
      <c r="G80" s="120" t="s">
        <v>636</v>
      </c>
      <c r="H80" s="131">
        <v>60</v>
      </c>
      <c r="I80" s="131"/>
      <c r="J80" s="122">
        <f t="shared" si="12"/>
        <v>121.422</v>
      </c>
      <c r="K80" s="123">
        <f>J80*'Bases calculs conso habitat '!$B$7</f>
        <v>14.339938199999999</v>
      </c>
      <c r="L80" s="124" t="s">
        <v>750</v>
      </c>
      <c r="M80" s="124">
        <f>J80*'Bases calculs conso habitat '!$B$6</f>
        <v>15.930566400000002</v>
      </c>
      <c r="N80" s="124" t="s">
        <v>750</v>
      </c>
      <c r="O80" s="129"/>
      <c r="P80" s="126"/>
      <c r="Q80" s="130"/>
      <c r="R80" s="130"/>
      <c r="S80" s="90">
        <f>IF(U80&lt;1,0,(U80-1)*J80)</f>
        <v>0</v>
      </c>
      <c r="T80" s="91">
        <f>IF(U80&lt;1,0,IF($D$5="Simple tarif",(U80-1)*K80,(U80-1)*M80))</f>
        <v>0</v>
      </c>
      <c r="U80" s="149"/>
      <c r="V80" s="143"/>
      <c r="W80" s="152" t="s">
        <v>653</v>
      </c>
    </row>
    <row r="81" spans="2:23" ht="19.5" customHeight="1">
      <c r="B81" s="508"/>
      <c r="C81" s="514"/>
      <c r="D81" s="118" t="s">
        <v>654</v>
      </c>
      <c r="E81" s="30"/>
      <c r="F81" s="120">
        <v>5.9</v>
      </c>
      <c r="G81" s="120" t="s">
        <v>636</v>
      </c>
      <c r="H81" s="131">
        <v>130</v>
      </c>
      <c r="I81" s="131"/>
      <c r="J81" s="122">
        <f t="shared" si="12"/>
        <v>263.081</v>
      </c>
      <c r="K81" s="123">
        <f>J81*'Bases calculs conso habitat '!$B$7</f>
        <v>31.069866100000002</v>
      </c>
      <c r="L81" s="124" t="s">
        <v>750</v>
      </c>
      <c r="M81" s="124">
        <f>J81*'Bases calculs conso habitat '!$B$6</f>
        <v>34.5162272</v>
      </c>
      <c r="N81" s="124" t="s">
        <v>750</v>
      </c>
      <c r="O81" s="129"/>
      <c r="P81" s="126"/>
      <c r="Q81" s="130"/>
      <c r="R81" s="130"/>
      <c r="S81" s="90">
        <f>IF(U81&lt;1,0,(U81-1)*J81)</f>
        <v>0</v>
      </c>
      <c r="T81" s="91">
        <f>IF(U81&lt;1,0,IF($D$5="Simple tarif",(U81-1)*K81,(U81-1)*M81))</f>
        <v>0</v>
      </c>
      <c r="U81" s="149"/>
      <c r="V81" s="143"/>
      <c r="W81" s="152" t="s">
        <v>651</v>
      </c>
    </row>
    <row r="82" spans="2:23" ht="19.5" customHeight="1">
      <c r="B82" s="508"/>
      <c r="C82" s="514"/>
      <c r="D82" s="118" t="s">
        <v>655</v>
      </c>
      <c r="E82" s="30"/>
      <c r="F82" s="120">
        <v>5.9</v>
      </c>
      <c r="G82" s="120" t="s">
        <v>636</v>
      </c>
      <c r="H82" s="131">
        <v>80</v>
      </c>
      <c r="I82" s="131"/>
      <c r="J82" s="122">
        <f t="shared" si="12"/>
        <v>161.896</v>
      </c>
      <c r="K82" s="123">
        <f>J82*'Bases calculs conso habitat '!$B$7</f>
        <v>19.119917599999997</v>
      </c>
      <c r="L82" s="124" t="s">
        <v>750</v>
      </c>
      <c r="M82" s="124">
        <f>J82*'Bases calculs conso habitat '!$B$6</f>
        <v>21.2407552</v>
      </c>
      <c r="N82" s="124" t="s">
        <v>750</v>
      </c>
      <c r="O82" s="129"/>
      <c r="P82" s="126"/>
      <c r="Q82" s="130"/>
      <c r="R82" s="130"/>
      <c r="S82" s="90">
        <f>IF(U82&lt;1,0,(U82-1)*J82)</f>
        <v>0</v>
      </c>
      <c r="T82" s="91">
        <f>IF(U82&lt;1,0,IF($D$5="Simple tarif",(U82-1)*K82,(U82-1)*M82))</f>
        <v>0</v>
      </c>
      <c r="U82" s="149"/>
      <c r="V82" s="143"/>
      <c r="W82" s="152" t="s">
        <v>653</v>
      </c>
    </row>
    <row r="83" spans="2:23" ht="18.75" customHeight="1">
      <c r="B83" s="508"/>
      <c r="C83" s="514"/>
      <c r="D83" s="153" t="s">
        <v>656</v>
      </c>
      <c r="E83" s="154"/>
      <c r="F83" s="120"/>
      <c r="G83" s="120"/>
      <c r="H83" s="131">
        <v>1.8</v>
      </c>
      <c r="I83" s="131"/>
      <c r="J83" s="122">
        <f>H83*(24-F82)*7*(52-$D$13)/1000</f>
        <v>11.174940000000003</v>
      </c>
      <c r="K83" s="123">
        <f>J83*'Bases calculs conso habitat '!$B$7</f>
        <v>1.3197604140000003</v>
      </c>
      <c r="L83" s="124"/>
      <c r="M83" s="124" t="s">
        <v>750</v>
      </c>
      <c r="N83" s="124">
        <f>J83*3/10*'Bases calculs conso habitat '!$B$5+J83*7/10*'Bases calculs conso habitat '!$B$6</f>
        <v>1.3263536286000002</v>
      </c>
      <c r="O83" s="129"/>
      <c r="P83" s="126"/>
      <c r="Q83" s="130"/>
      <c r="R83" s="130"/>
      <c r="S83" s="90">
        <f t="shared" si="11"/>
        <v>0</v>
      </c>
      <c r="T83" s="91">
        <f>IF(U83=FALSE,0,IF($D$5="Simple tarif",K83,N83))</f>
        <v>0</v>
      </c>
      <c r="U83" s="149" t="b">
        <f>AND(OR(U79&gt;1,U80&gt;1,U81&gt;1,U82&gt;1),$D$9="non")</f>
        <v>0</v>
      </c>
      <c r="V83" s="143"/>
      <c r="W83" s="152" t="s">
        <v>649</v>
      </c>
    </row>
    <row r="84" spans="2:23" ht="19.5" customHeight="1">
      <c r="B84" s="508"/>
      <c r="C84" s="514"/>
      <c r="D84" s="118" t="s">
        <v>531</v>
      </c>
      <c r="E84" s="30"/>
      <c r="F84" s="120">
        <v>6.1</v>
      </c>
      <c r="G84" s="120" t="s">
        <v>636</v>
      </c>
      <c r="H84" s="131">
        <v>210</v>
      </c>
      <c r="I84" s="131"/>
      <c r="J84" s="122">
        <f t="shared" si="12"/>
        <v>439.383</v>
      </c>
      <c r="K84" s="123">
        <f>J84*'Bases calculs conso habitat '!$B$7</f>
        <v>51.891132299999995</v>
      </c>
      <c r="L84" s="124" t="s">
        <v>750</v>
      </c>
      <c r="M84" s="124">
        <f>J84*'Bases calculs conso habitat '!$B$6</f>
        <v>57.6470496</v>
      </c>
      <c r="N84" s="124" t="s">
        <v>750</v>
      </c>
      <c r="O84" s="129"/>
      <c r="P84" s="126"/>
      <c r="Q84" s="130"/>
      <c r="R84" s="130"/>
      <c r="S84" s="90">
        <f>IF(U84&lt;1,0,(U84-1)*J84)</f>
        <v>0</v>
      </c>
      <c r="T84" s="91">
        <f>IF(U84&lt;1,0,IF($D$5="Simple tarif",(U84-1)*K84,(U84-1)*M84))</f>
        <v>0</v>
      </c>
      <c r="U84" s="149">
        <v>0</v>
      </c>
      <c r="V84" s="143"/>
      <c r="W84" s="152" t="s">
        <v>651</v>
      </c>
    </row>
    <row r="85" spans="2:23" ht="19.5" customHeight="1">
      <c r="B85" s="508"/>
      <c r="C85" s="514"/>
      <c r="D85" s="118" t="s">
        <v>532</v>
      </c>
      <c r="E85" s="30"/>
      <c r="F85" s="120">
        <v>6.1</v>
      </c>
      <c r="G85" s="120" t="s">
        <v>636</v>
      </c>
      <c r="H85" s="131">
        <v>270</v>
      </c>
      <c r="I85" s="128"/>
      <c r="J85" s="122">
        <f t="shared" si="12"/>
        <v>564.921</v>
      </c>
      <c r="K85" s="123">
        <f>J85*'Bases calculs conso habitat '!$B$7</f>
        <v>66.7171701</v>
      </c>
      <c r="L85" s="124" t="s">
        <v>750</v>
      </c>
      <c r="M85" s="124">
        <f>J85*'Bases calculs conso habitat '!$B$6</f>
        <v>74.11763520000001</v>
      </c>
      <c r="N85" s="124" t="s">
        <v>750</v>
      </c>
      <c r="O85" s="129"/>
      <c r="P85" s="126"/>
      <c r="Q85" s="130"/>
      <c r="R85" s="130"/>
      <c r="S85" s="90">
        <f>IF(U85&lt;1,0,(U85-1)*J85)</f>
        <v>0</v>
      </c>
      <c r="T85" s="91">
        <f>IF(U85&lt;1,0,IF($D$5="Simple tarif",(U85-1)*K85,(U85-1)*M85))</f>
        <v>0</v>
      </c>
      <c r="U85" s="149">
        <v>0</v>
      </c>
      <c r="V85" s="143"/>
      <c r="W85" s="152" t="s">
        <v>651</v>
      </c>
    </row>
    <row r="86" spans="2:23" ht="19.5" customHeight="1">
      <c r="B86" s="508"/>
      <c r="C86" s="514"/>
      <c r="D86" s="118" t="s">
        <v>533</v>
      </c>
      <c r="E86" s="30"/>
      <c r="F86" s="120">
        <v>6.1</v>
      </c>
      <c r="G86" s="120" t="s">
        <v>636</v>
      </c>
      <c r="H86" s="131">
        <v>133</v>
      </c>
      <c r="I86" s="131"/>
      <c r="J86" s="122">
        <f>H86*F86*7*(52-$D$13)/1000</f>
        <v>278.2759</v>
      </c>
      <c r="K86" s="123">
        <f>J86*'Bases calculs conso habitat '!$B$7</f>
        <v>32.86438379</v>
      </c>
      <c r="L86" s="124" t="s">
        <v>750</v>
      </c>
      <c r="M86" s="124">
        <f>J86*'Bases calculs conso habitat '!$B$6</f>
        <v>36.50979808</v>
      </c>
      <c r="N86" s="124" t="s">
        <v>750</v>
      </c>
      <c r="O86" s="129"/>
      <c r="P86" s="126"/>
      <c r="Q86" s="130"/>
      <c r="R86" s="130"/>
      <c r="S86" s="90">
        <f>IF(U86&lt;1,0,(U86-1)*J86)</f>
        <v>0</v>
      </c>
      <c r="T86" s="91">
        <f>IF(U86&lt;1,0,IF($D$5="Simple tarif",(U86-1)*K86,(U86-1)*M86))</f>
        <v>0</v>
      </c>
      <c r="U86" s="149"/>
      <c r="V86" s="143"/>
      <c r="W86" s="101" t="s">
        <v>745</v>
      </c>
    </row>
    <row r="87" spans="2:23" ht="18.75" customHeight="1">
      <c r="B87" s="508"/>
      <c r="C87" s="514"/>
      <c r="D87" s="153" t="s">
        <v>534</v>
      </c>
      <c r="E87" s="154"/>
      <c r="F87" s="120"/>
      <c r="G87" s="120"/>
      <c r="H87" s="131">
        <v>1.6</v>
      </c>
      <c r="I87" s="128"/>
      <c r="J87" s="122">
        <f>H87*(24-F85)*7*(52-$D$13)/1000</f>
        <v>9.82352</v>
      </c>
      <c r="K87" s="123">
        <f>J87*'Bases calculs conso habitat '!$B$7</f>
        <v>1.160157712</v>
      </c>
      <c r="L87" s="124" t="s">
        <v>750</v>
      </c>
      <c r="M87" s="124" t="s">
        <v>750</v>
      </c>
      <c r="N87" s="124">
        <f>J87*3/10*'Bases calculs conso habitat '!$B$5+J87*7/10*'Bases calculs conso habitat '!$B$6</f>
        <v>1.1659535888</v>
      </c>
      <c r="O87" s="129"/>
      <c r="P87" s="126"/>
      <c r="Q87" s="130"/>
      <c r="R87" s="130"/>
      <c r="S87" s="90">
        <f t="shared" si="11"/>
        <v>0</v>
      </c>
      <c r="T87" s="91">
        <f>IF(U87=FALSE,0,IF($D$5="Simple tarif",K87,N87))</f>
        <v>0</v>
      </c>
      <c r="U87" s="149" t="b">
        <f>AND(OR(U84&gt;1,U85&gt;1,U86&gt;1),$D$9="non")</f>
        <v>0</v>
      </c>
      <c r="V87" s="143"/>
      <c r="W87" s="152" t="s">
        <v>649</v>
      </c>
    </row>
    <row r="88" spans="2:23" ht="19.5" customHeight="1">
      <c r="B88" s="508"/>
      <c r="C88" s="514" t="s">
        <v>535</v>
      </c>
      <c r="D88" s="118" t="s">
        <v>536</v>
      </c>
      <c r="E88" s="30"/>
      <c r="F88" s="120"/>
      <c r="G88" s="120"/>
      <c r="H88" s="131">
        <v>17</v>
      </c>
      <c r="I88" s="128"/>
      <c r="J88" s="122">
        <f>H88*24*365/1000</f>
        <v>148.92</v>
      </c>
      <c r="K88" s="123">
        <f>J88*'Bases calculs conso habitat '!$B$7</f>
        <v>17.587452</v>
      </c>
      <c r="L88" s="124" t="s">
        <v>750</v>
      </c>
      <c r="M88" s="124" t="s">
        <v>750</v>
      </c>
      <c r="N88" s="124">
        <f>J88*3/10*'Bases calculs conso habitat '!$B$5+J88*7/10*'Bases calculs conso habitat '!$B$6</f>
        <v>17.6753148</v>
      </c>
      <c r="O88" s="129"/>
      <c r="P88" s="126"/>
      <c r="Q88" s="130"/>
      <c r="R88" s="130"/>
      <c r="S88" s="90">
        <f>IF(U88&lt;1,0,(U88-1)*J88)</f>
        <v>148.92</v>
      </c>
      <c r="T88" s="91">
        <f>IF(U88&lt;1,0,IF($D$5="Simple tarif",(U88-1)*K88,(U88-1)*N88))</f>
        <v>17.6753148</v>
      </c>
      <c r="U88" s="149">
        <v>2</v>
      </c>
      <c r="V88" s="143"/>
      <c r="W88" s="152" t="s">
        <v>537</v>
      </c>
    </row>
    <row r="89" spans="2:23" ht="19.5" customHeight="1">
      <c r="B89" s="508"/>
      <c r="C89" s="514"/>
      <c r="D89" s="118" t="s">
        <v>538</v>
      </c>
      <c r="E89" s="30"/>
      <c r="F89" s="120"/>
      <c r="G89" s="120"/>
      <c r="H89" s="131">
        <v>17</v>
      </c>
      <c r="I89" s="128"/>
      <c r="J89" s="122">
        <f>H89*(24-6)*(52-$D$13)/1000</f>
        <v>14.994</v>
      </c>
      <c r="K89" s="123">
        <f>J89*'Bases calculs conso habitat '!$B$7</f>
        <v>1.7707914</v>
      </c>
      <c r="L89" s="124" t="s">
        <v>750</v>
      </c>
      <c r="M89" s="124" t="s">
        <v>750</v>
      </c>
      <c r="N89" s="124">
        <f>J89*3/10*'Bases calculs conso habitat '!$B$5+J89*7/10*'Bases calculs conso habitat '!$B$6</f>
        <v>1.77963786</v>
      </c>
      <c r="O89" s="129"/>
      <c r="P89" s="126"/>
      <c r="Q89" s="130"/>
      <c r="R89" s="130"/>
      <c r="S89" s="90">
        <f>IF(U89&lt;1,0,(U89-1)*J89)</f>
        <v>0</v>
      </c>
      <c r="T89" s="91">
        <f>IF(U89&lt;1,0,IF($D$5="Simple tarif",(U89-1)*K89,(U89-1)*N89))</f>
        <v>0</v>
      </c>
      <c r="U89" s="149"/>
      <c r="V89" s="143"/>
      <c r="W89" s="152" t="s">
        <v>539</v>
      </c>
    </row>
    <row r="90" spans="2:23" ht="18.75" customHeight="1">
      <c r="B90" s="508"/>
      <c r="C90" s="514" t="s">
        <v>540</v>
      </c>
      <c r="D90" s="118"/>
      <c r="E90" s="30"/>
      <c r="F90" s="120">
        <v>1</v>
      </c>
      <c r="G90" s="120" t="s">
        <v>636</v>
      </c>
      <c r="H90" s="131">
        <v>9.8</v>
      </c>
      <c r="I90" s="128"/>
      <c r="J90" s="122">
        <f>H90*F90*7*(52-$D$13)/1000</f>
        <v>3.3614000000000006</v>
      </c>
      <c r="K90" s="123">
        <f>J90*'Bases calculs conso habitat '!$B$7</f>
        <v>0.39698134000000007</v>
      </c>
      <c r="L90" s="124" t="s">
        <v>750</v>
      </c>
      <c r="M90" s="124">
        <f>J90*'Bases calculs conso habitat '!$B$6</f>
        <v>0.44101568000000013</v>
      </c>
      <c r="N90" s="124" t="s">
        <v>750</v>
      </c>
      <c r="O90" s="129"/>
      <c r="P90" s="126"/>
      <c r="Q90" s="130"/>
      <c r="R90" s="130"/>
      <c r="S90" s="90">
        <f t="shared" si="11"/>
        <v>3.3614000000000006</v>
      </c>
      <c r="T90" s="91">
        <f>IF(U90=FALSE,0,IF($D$5="Simple tarif",K90,M90))</f>
        <v>0.44101568000000013</v>
      </c>
      <c r="U90" s="142" t="b">
        <f>TRUE</f>
        <v>1</v>
      </c>
      <c r="V90" s="143"/>
      <c r="W90" s="152" t="s">
        <v>541</v>
      </c>
    </row>
    <row r="91" spans="2:23" ht="18.75" customHeight="1">
      <c r="B91" s="508"/>
      <c r="C91" s="514"/>
      <c r="D91" s="153" t="s">
        <v>542</v>
      </c>
      <c r="E91" s="154"/>
      <c r="F91" s="120"/>
      <c r="G91" s="120"/>
      <c r="H91" s="131">
        <v>2.4</v>
      </c>
      <c r="I91" s="128"/>
      <c r="J91" s="122">
        <f>H91*(24-F90)*7*52/1000</f>
        <v>20.0928</v>
      </c>
      <c r="K91" s="123">
        <f>J91*'Bases calculs conso habitat '!$B$7</f>
        <v>2.37295968</v>
      </c>
      <c r="L91" s="124" t="s">
        <v>750</v>
      </c>
      <c r="M91" s="124" t="s">
        <v>750</v>
      </c>
      <c r="N91" s="124">
        <f>J91*3/10*'Bases calculs conso habitat '!$B$5+J91*7/10*'Bases calculs conso habitat '!$B$6</f>
        <v>2.3848144319999998</v>
      </c>
      <c r="O91" s="129"/>
      <c r="P91" s="126"/>
      <c r="Q91" s="130"/>
      <c r="R91" s="130"/>
      <c r="S91" s="90">
        <f t="shared" si="11"/>
        <v>0</v>
      </c>
      <c r="T91" s="91">
        <f>IF(U91=FALSE,0,IF($D$5="Simple tarif",K91,N91))</f>
        <v>0</v>
      </c>
      <c r="U91" s="149" t="b">
        <f>AND(U90,$D$9="non")</f>
        <v>0</v>
      </c>
      <c r="V91" s="143"/>
      <c r="W91" s="152" t="s">
        <v>649</v>
      </c>
    </row>
    <row r="92" spans="2:23" ht="18.75" customHeight="1">
      <c r="B92" s="508"/>
      <c r="C92" s="515" t="s">
        <v>543</v>
      </c>
      <c r="D92" s="118"/>
      <c r="E92" s="30"/>
      <c r="F92" s="120">
        <v>1</v>
      </c>
      <c r="G92" s="120" t="s">
        <v>636</v>
      </c>
      <c r="H92" s="131">
        <v>17.8</v>
      </c>
      <c r="I92" s="128"/>
      <c r="J92" s="122">
        <f>H92*F92*7*(52-$D$13)/1000</f>
        <v>6.1054</v>
      </c>
      <c r="K92" s="123">
        <f>J92*'Bases calculs conso habitat '!$B$7</f>
        <v>0.72104774</v>
      </c>
      <c r="L92" s="124" t="s">
        <v>750</v>
      </c>
      <c r="M92" s="124">
        <f>J92*'Bases calculs conso habitat '!$B$6</f>
        <v>0.8010284800000002</v>
      </c>
      <c r="N92" s="124" t="s">
        <v>750</v>
      </c>
      <c r="O92" s="129"/>
      <c r="P92" s="126"/>
      <c r="Q92" s="130"/>
      <c r="R92" s="130"/>
      <c r="S92" s="90">
        <f t="shared" si="11"/>
        <v>0</v>
      </c>
      <c r="T92" s="91">
        <f>IF(U92=FALSE,0,IF($D$5="Simple tarif",K92,M92))</f>
        <v>0</v>
      </c>
      <c r="U92" s="142" t="b">
        <f>FALSE</f>
        <v>0</v>
      </c>
      <c r="V92" s="143"/>
      <c r="W92" s="152" t="s">
        <v>544</v>
      </c>
    </row>
    <row r="93" spans="2:23" ht="18.75" customHeight="1">
      <c r="B93" s="508"/>
      <c r="C93" s="515"/>
      <c r="D93" s="153" t="s">
        <v>542</v>
      </c>
      <c r="E93" s="154"/>
      <c r="F93" s="120"/>
      <c r="G93" s="120"/>
      <c r="H93" s="131">
        <v>3.8</v>
      </c>
      <c r="I93" s="128"/>
      <c r="J93" s="122">
        <f>H93*(24-F92)*7*52/1000</f>
        <v>31.813599999999997</v>
      </c>
      <c r="K93" s="123">
        <f>J93*'Bases calculs conso habitat '!$B$7</f>
        <v>3.7571861599999994</v>
      </c>
      <c r="L93" s="124" t="s">
        <v>750</v>
      </c>
      <c r="M93" s="124" t="s">
        <v>750</v>
      </c>
      <c r="N93" s="124">
        <f>J93*3/10*'Bases calculs conso habitat '!$B$5+J93*7/10*'Bases calculs conso habitat '!$B$6</f>
        <v>3.7759561839999995</v>
      </c>
      <c r="O93" s="129"/>
      <c r="P93" s="126"/>
      <c r="Q93" s="130"/>
      <c r="R93" s="130"/>
      <c r="S93" s="90">
        <f t="shared" si="11"/>
        <v>0</v>
      </c>
      <c r="T93" s="91">
        <f>IF(U93=FALSE,0,IF($D$5="Simple tarif",K93,N93))</f>
        <v>0</v>
      </c>
      <c r="U93" s="142" t="b">
        <f>FALSE</f>
        <v>0</v>
      </c>
      <c r="V93" s="143"/>
      <c r="W93" s="152" t="s">
        <v>649</v>
      </c>
    </row>
    <row r="94" spans="2:23" ht="18.75" customHeight="1">
      <c r="B94" s="508"/>
      <c r="C94" s="514" t="s">
        <v>545</v>
      </c>
      <c r="D94" s="118"/>
      <c r="E94" s="30"/>
      <c r="F94" s="120">
        <v>4</v>
      </c>
      <c r="G94" s="120" t="s">
        <v>605</v>
      </c>
      <c r="H94" s="131">
        <v>200</v>
      </c>
      <c r="I94" s="128"/>
      <c r="J94" s="122">
        <f>H94*F94*(52-$D$13)/1000</f>
        <v>39.2</v>
      </c>
      <c r="K94" s="123">
        <f>J94*'Bases calculs conso habitat '!$B$7</f>
        <v>4.62952</v>
      </c>
      <c r="L94" s="124" t="s">
        <v>750</v>
      </c>
      <c r="M94" s="124">
        <f>J94*'Bases calculs conso habitat '!$B$6</f>
        <v>5.143040000000001</v>
      </c>
      <c r="N94" s="124" t="s">
        <v>750</v>
      </c>
      <c r="O94" s="129"/>
      <c r="P94" s="126"/>
      <c r="Q94" s="130"/>
      <c r="R94" s="130"/>
      <c r="S94" s="90">
        <f t="shared" si="11"/>
        <v>0</v>
      </c>
      <c r="T94" s="91">
        <f>IF(U94=FALSE,0,IF($D$5="Simple tarif",K94,M94))</f>
        <v>0</v>
      </c>
      <c r="U94" s="142" t="b">
        <f>FALSE</f>
        <v>0</v>
      </c>
      <c r="V94" s="143"/>
      <c r="W94" s="152" t="s">
        <v>546</v>
      </c>
    </row>
    <row r="95" spans="2:23" ht="18.75" customHeight="1">
      <c r="B95" s="508"/>
      <c r="C95" s="514"/>
      <c r="D95" s="153" t="s">
        <v>542</v>
      </c>
      <c r="E95" s="154"/>
      <c r="F95" s="120"/>
      <c r="G95" s="120"/>
      <c r="H95" s="131">
        <v>3</v>
      </c>
      <c r="I95" s="128"/>
      <c r="J95" s="122">
        <f>H95*(24-F94)*7*52/1000</f>
        <v>21.84</v>
      </c>
      <c r="K95" s="123">
        <f>J95*'Bases calculs conso habitat '!$B$7</f>
        <v>2.579304</v>
      </c>
      <c r="L95" s="124" t="s">
        <v>750</v>
      </c>
      <c r="M95" s="124" t="s">
        <v>750</v>
      </c>
      <c r="N95" s="124">
        <f>J95*3/10*'Bases calculs conso habitat '!$B$5+J95*7/10*'Bases calculs conso habitat '!$B$6</f>
        <v>2.5921896</v>
      </c>
      <c r="O95" s="129"/>
      <c r="P95" s="126"/>
      <c r="Q95" s="130"/>
      <c r="R95" s="130"/>
      <c r="S95" s="90">
        <f t="shared" si="11"/>
        <v>0</v>
      </c>
      <c r="T95" s="91">
        <f>IF(U95=FALSE,0,IF($D$5="Simple tarif",K95,N95))</f>
        <v>0</v>
      </c>
      <c r="U95" s="149" t="b">
        <f>AND(U94,$D$9="non")</f>
        <v>0</v>
      </c>
      <c r="V95" s="143"/>
      <c r="W95" s="152" t="s">
        <v>649</v>
      </c>
    </row>
    <row r="96" spans="2:23" ht="19.5" customHeight="1">
      <c r="B96" s="508"/>
      <c r="C96" s="514" t="s">
        <v>547</v>
      </c>
      <c r="D96" s="118"/>
      <c r="E96" s="30"/>
      <c r="F96" s="120">
        <v>1</v>
      </c>
      <c r="G96" s="120" t="s">
        <v>636</v>
      </c>
      <c r="H96" s="131">
        <v>55</v>
      </c>
      <c r="I96" s="128"/>
      <c r="J96" s="122">
        <f>H96*F96*7*(52-$D$13)/1000</f>
        <v>18.865</v>
      </c>
      <c r="K96" s="123">
        <f>J96*'Bases calculs conso habitat '!$B$7</f>
        <v>2.2279565</v>
      </c>
      <c r="L96" s="124" t="s">
        <v>750</v>
      </c>
      <c r="M96" s="124">
        <f>J96*'Bases calculs conso habitat '!$B$6</f>
        <v>2.475088</v>
      </c>
      <c r="N96" s="124" t="s">
        <v>750</v>
      </c>
      <c r="O96" s="129"/>
      <c r="P96" s="126"/>
      <c r="Q96" s="130"/>
      <c r="R96" s="130"/>
      <c r="S96" s="90">
        <f>IF(U96&lt;1,0,(U96-1)*J96)</f>
        <v>0</v>
      </c>
      <c r="T96" s="91">
        <f>IF(U96&lt;1,0,IF($D$5="Simple tarif",(U96-1)*K96,(U96-1)*M96))</f>
        <v>0</v>
      </c>
      <c r="U96" s="149"/>
      <c r="V96" s="143"/>
      <c r="W96" s="152" t="s">
        <v>649</v>
      </c>
    </row>
    <row r="97" spans="2:23" ht="18.75" customHeight="1">
      <c r="B97" s="508"/>
      <c r="C97" s="514"/>
      <c r="D97" s="153" t="s">
        <v>542</v>
      </c>
      <c r="E97" s="154"/>
      <c r="F97" s="120"/>
      <c r="G97" s="120"/>
      <c r="H97" s="131">
        <v>4.3</v>
      </c>
      <c r="I97" s="128"/>
      <c r="J97" s="122">
        <f>H97*(24-F96)*7*52/1000</f>
        <v>35.9996</v>
      </c>
      <c r="K97" s="123">
        <f>J97*'Bases calculs conso habitat '!$B$7</f>
        <v>4.25155276</v>
      </c>
      <c r="L97" s="124" t="s">
        <v>750</v>
      </c>
      <c r="M97" s="124" t="s">
        <v>750</v>
      </c>
      <c r="N97" s="124">
        <f>J97*3/10*'Bases calculs conso habitat '!$B$5+J97*7/10*'Bases calculs conso habitat '!$B$6</f>
        <v>4.272792524000001</v>
      </c>
      <c r="O97" s="129"/>
      <c r="P97" s="126"/>
      <c r="Q97" s="130"/>
      <c r="R97" s="130"/>
      <c r="S97" s="90">
        <f t="shared" si="11"/>
        <v>0</v>
      </c>
      <c r="T97" s="91">
        <f>IF(U97=FALSE,0,IF($D$5="Simple tarif",K97,N97))</f>
        <v>0</v>
      </c>
      <c r="U97" s="149" t="b">
        <f>AND(U96&gt;1,$D$9="non")</f>
        <v>0</v>
      </c>
      <c r="V97" s="146"/>
      <c r="W97" s="152" t="s">
        <v>649</v>
      </c>
    </row>
    <row r="98" spans="2:23" ht="19.5" customHeight="1">
      <c r="B98" s="516" t="s">
        <v>548</v>
      </c>
      <c r="C98" s="514" t="s">
        <v>549</v>
      </c>
      <c r="D98" s="155"/>
      <c r="E98" s="156"/>
      <c r="F98" s="157">
        <v>7.5</v>
      </c>
      <c r="G98" s="157" t="s">
        <v>636</v>
      </c>
      <c r="H98" s="158">
        <v>82</v>
      </c>
      <c r="I98" s="159"/>
      <c r="J98" s="160">
        <f aca="true" t="shared" si="13" ref="J98:J106">H98*F98*7*(52-$D$13)/1000</f>
        <v>210.945</v>
      </c>
      <c r="K98" s="123">
        <f>J98*'Bases calculs conso habitat '!$B$7</f>
        <v>24.912604499999997</v>
      </c>
      <c r="L98" s="124" t="s">
        <v>750</v>
      </c>
      <c r="M98" s="124">
        <f>J98*'Bases calculs conso habitat '!$B$6</f>
        <v>27.675984</v>
      </c>
      <c r="N98" s="124" t="s">
        <v>750</v>
      </c>
      <c r="O98" s="129"/>
      <c r="P98" s="126"/>
      <c r="Q98" s="161"/>
      <c r="R98" s="161"/>
      <c r="S98" s="90">
        <f>IF(U98&lt;1,0,(U98-1)*J98)</f>
        <v>210.945</v>
      </c>
      <c r="T98" s="91">
        <f>IF(U98&lt;1,0,IF($D$5="Simple tarif",(U98-1)*K98,(U98-1)*M98))</f>
        <v>27.675984</v>
      </c>
      <c r="U98" s="132">
        <v>2</v>
      </c>
      <c r="V98" s="101"/>
      <c r="W98" s="152" t="s">
        <v>649</v>
      </c>
    </row>
    <row r="99" spans="2:23" ht="18.75" customHeight="1">
      <c r="B99" s="516"/>
      <c r="C99" s="514"/>
      <c r="D99" s="153" t="s">
        <v>542</v>
      </c>
      <c r="E99" s="154"/>
      <c r="F99" s="120">
        <v>12</v>
      </c>
      <c r="G99" s="120" t="s">
        <v>636</v>
      </c>
      <c r="H99" s="131">
        <v>3.3</v>
      </c>
      <c r="I99" s="128"/>
      <c r="J99" s="122">
        <f t="shared" si="13"/>
        <v>13.582799999999997</v>
      </c>
      <c r="K99" s="123">
        <f>J99*'Bases calculs conso habitat '!$B$7</f>
        <v>1.6041286799999996</v>
      </c>
      <c r="L99" s="124" t="s">
        <v>750</v>
      </c>
      <c r="M99" s="124" t="s">
        <v>750</v>
      </c>
      <c r="N99" s="124">
        <f>J99*3/10*'Bases calculs conso habitat '!$B$5+J99*7/10*'Bases calculs conso habitat '!$B$6</f>
        <v>1.612142532</v>
      </c>
      <c r="O99" s="129"/>
      <c r="P99" s="126"/>
      <c r="Q99" s="130"/>
      <c r="R99" s="130"/>
      <c r="S99" s="90">
        <f t="shared" si="11"/>
        <v>0</v>
      </c>
      <c r="T99" s="91">
        <f>IF(U99=FALSE,0,IF($D$5="Simple tarif",K99,N99))</f>
        <v>0</v>
      </c>
      <c r="U99" s="149" t="b">
        <f>AND(U98&gt;1,$D$11="non")</f>
        <v>0</v>
      </c>
      <c r="V99" s="101"/>
      <c r="W99" s="152" t="s">
        <v>649</v>
      </c>
    </row>
    <row r="100" spans="2:23" ht="19.5" customHeight="1">
      <c r="B100" s="516"/>
      <c r="C100" s="514" t="s">
        <v>550</v>
      </c>
      <c r="D100" s="118"/>
      <c r="E100" s="30"/>
      <c r="F100" s="120">
        <v>5</v>
      </c>
      <c r="G100" s="120" t="s">
        <v>636</v>
      </c>
      <c r="H100" s="131">
        <v>65</v>
      </c>
      <c r="I100" s="128"/>
      <c r="J100" s="122">
        <f t="shared" si="13"/>
        <v>111.475</v>
      </c>
      <c r="K100" s="123">
        <f>J100*'Bases calculs conso habitat '!$B$7</f>
        <v>13.1651975</v>
      </c>
      <c r="L100" s="124" t="s">
        <v>750</v>
      </c>
      <c r="M100" s="124">
        <f>J100*'Bases calculs conso habitat '!$B$6</f>
        <v>14.62552</v>
      </c>
      <c r="N100" s="124" t="s">
        <v>750</v>
      </c>
      <c r="O100" s="129"/>
      <c r="P100" s="126"/>
      <c r="Q100" s="130"/>
      <c r="R100" s="130"/>
      <c r="S100" s="90">
        <f>IF(U100&lt;1,0,(U100-1)*J100)</f>
        <v>0</v>
      </c>
      <c r="T100" s="91">
        <f>IF(U100&lt;1,0,IF($D$5="Simple tarif",(U100-1)*K100,(U100-1)*M100))</f>
        <v>0</v>
      </c>
      <c r="U100" s="132"/>
      <c r="V100" s="101"/>
      <c r="W100" s="152" t="s">
        <v>649</v>
      </c>
    </row>
    <row r="101" spans="2:23" ht="18.75" customHeight="1">
      <c r="B101" s="516"/>
      <c r="C101" s="514"/>
      <c r="D101" s="153" t="s">
        <v>542</v>
      </c>
      <c r="E101" s="154"/>
      <c r="F101" s="120">
        <v>12</v>
      </c>
      <c r="G101" s="120" t="s">
        <v>636</v>
      </c>
      <c r="H101" s="131">
        <v>3.6</v>
      </c>
      <c r="I101" s="128"/>
      <c r="J101" s="122">
        <f t="shared" si="13"/>
        <v>14.817600000000002</v>
      </c>
      <c r="K101" s="123">
        <f>J101*'Bases calculs conso habitat '!$B$7</f>
        <v>1.7499585600000003</v>
      </c>
      <c r="L101" s="124" t="s">
        <v>750</v>
      </c>
      <c r="M101" s="124" t="s">
        <v>750</v>
      </c>
      <c r="N101" s="124">
        <f>J101*3/10*'Bases calculs conso habitat '!$B$5+J101*7/10*'Bases calculs conso habitat '!$B$6</f>
        <v>1.7587009440000003</v>
      </c>
      <c r="O101" s="129"/>
      <c r="P101" s="126"/>
      <c r="Q101" s="130"/>
      <c r="R101" s="130"/>
      <c r="S101" s="90">
        <f t="shared" si="11"/>
        <v>0</v>
      </c>
      <c r="T101" s="91">
        <f>IF(U101=FALSE,0,IF($D$5="Simple tarif",K101,N101))</f>
        <v>0</v>
      </c>
      <c r="U101" s="149" t="b">
        <f>AND(U100&gt;1,$D$11="non")</f>
        <v>0</v>
      </c>
      <c r="V101" s="101"/>
      <c r="W101" s="152" t="s">
        <v>649</v>
      </c>
    </row>
    <row r="102" spans="2:23" ht="19.5" customHeight="1">
      <c r="B102" s="516"/>
      <c r="C102" s="514" t="s">
        <v>551</v>
      </c>
      <c r="D102" s="118" t="s">
        <v>552</v>
      </c>
      <c r="E102" s="30"/>
      <c r="F102" s="120">
        <v>5</v>
      </c>
      <c r="G102" s="120" t="s">
        <v>636</v>
      </c>
      <c r="H102" s="131">
        <v>17</v>
      </c>
      <c r="I102" s="128"/>
      <c r="J102" s="122">
        <f t="shared" si="13"/>
        <v>29.155</v>
      </c>
      <c r="K102" s="123">
        <f>J102*'Bases calculs conso habitat '!$B$7</f>
        <v>3.4432055</v>
      </c>
      <c r="L102" s="124" t="s">
        <v>750</v>
      </c>
      <c r="M102" s="124">
        <f>J102*'Bases calculs conso habitat '!$B$6</f>
        <v>3.8251360000000005</v>
      </c>
      <c r="N102" s="124" t="s">
        <v>750</v>
      </c>
      <c r="O102" s="129"/>
      <c r="P102" s="126"/>
      <c r="Q102" s="130"/>
      <c r="R102" s="130"/>
      <c r="S102" s="90">
        <f>IF(U102&lt;1,0,(U102-1)*J102)</f>
        <v>29.155</v>
      </c>
      <c r="T102" s="91">
        <f>IF(U102&lt;1,0,IF($D$5="Simple tarif",(U102-1)*K102,(U102-1)*M102))</f>
        <v>3.8251360000000005</v>
      </c>
      <c r="U102" s="132">
        <v>2</v>
      </c>
      <c r="V102" s="101"/>
      <c r="W102" s="152" t="s">
        <v>649</v>
      </c>
    </row>
    <row r="103" spans="2:23" ht="19.5" customHeight="1">
      <c r="B103" s="516"/>
      <c r="C103" s="514"/>
      <c r="D103" s="118" t="s">
        <v>553</v>
      </c>
      <c r="E103" s="30"/>
      <c r="F103" s="120">
        <v>5</v>
      </c>
      <c r="G103" s="120" t="s">
        <v>636</v>
      </c>
      <c r="H103" s="131">
        <v>29.6</v>
      </c>
      <c r="I103" s="128"/>
      <c r="J103" s="122">
        <f t="shared" si="13"/>
        <v>50.764</v>
      </c>
      <c r="K103" s="123">
        <f>J103*'Bases calculs conso habitat '!$B$7</f>
        <v>5.9952284</v>
      </c>
      <c r="L103" s="124" t="s">
        <v>750</v>
      </c>
      <c r="M103" s="124">
        <f>J103*'Bases calculs conso habitat '!$B$6</f>
        <v>6.660236800000001</v>
      </c>
      <c r="N103" s="124" t="s">
        <v>750</v>
      </c>
      <c r="O103" s="129"/>
      <c r="P103" s="126"/>
      <c r="Q103" s="130"/>
      <c r="R103" s="130"/>
      <c r="S103" s="90">
        <f>IF(U103&lt;1,0,(U103-1)*J103)</f>
        <v>0</v>
      </c>
      <c r="T103" s="91">
        <f>IF(U103&lt;1,0,IF($D$5="Simple tarif",(U103-1)*K103,(U103-1)*M103))</f>
        <v>0</v>
      </c>
      <c r="U103" s="132"/>
      <c r="V103" s="101"/>
      <c r="W103" s="152" t="s">
        <v>649</v>
      </c>
    </row>
    <row r="104" spans="2:23" ht="18.75" customHeight="1">
      <c r="B104" s="516"/>
      <c r="C104" s="514"/>
      <c r="D104" s="153" t="s">
        <v>542</v>
      </c>
      <c r="E104" s="154"/>
      <c r="F104" s="120">
        <v>12</v>
      </c>
      <c r="G104" s="120" t="s">
        <v>636</v>
      </c>
      <c r="H104" s="131">
        <v>1</v>
      </c>
      <c r="I104" s="128"/>
      <c r="J104" s="122">
        <f t="shared" si="13"/>
        <v>4.116</v>
      </c>
      <c r="K104" s="123">
        <f>J104*'Bases calculs conso habitat '!$B$7</f>
        <v>0.48609959999999997</v>
      </c>
      <c r="L104" s="124" t="s">
        <v>750</v>
      </c>
      <c r="M104" s="124" t="s">
        <v>750</v>
      </c>
      <c r="N104" s="124">
        <f>J104*3/10*'Bases calculs conso habitat '!$B$5+J104*7/10*'Bases calculs conso habitat '!$B$6</f>
        <v>0.48852803999999994</v>
      </c>
      <c r="O104" s="129"/>
      <c r="P104" s="126"/>
      <c r="Q104" s="130"/>
      <c r="R104" s="130"/>
      <c r="S104" s="90">
        <f t="shared" si="11"/>
        <v>0</v>
      </c>
      <c r="T104" s="91">
        <f>IF(U104=FALSE,0,IF($D$5="Simple tarif",K104,N104))</f>
        <v>0</v>
      </c>
      <c r="U104" s="149" t="b">
        <f>AND(OR(U102&gt;1,U103&gt;1),$D$11="non")</f>
        <v>0</v>
      </c>
      <c r="V104" s="101"/>
      <c r="W104" s="152" t="s">
        <v>649</v>
      </c>
    </row>
    <row r="105" spans="2:23" ht="19.5" customHeight="1">
      <c r="B105" s="516"/>
      <c r="C105" s="514" t="s">
        <v>554</v>
      </c>
      <c r="D105" s="118"/>
      <c r="E105" s="30"/>
      <c r="F105" s="120">
        <v>4</v>
      </c>
      <c r="G105" s="120" t="s">
        <v>636</v>
      </c>
      <c r="H105" s="131">
        <v>40</v>
      </c>
      <c r="I105" s="128"/>
      <c r="J105" s="122">
        <f t="shared" si="13"/>
        <v>54.88</v>
      </c>
      <c r="K105" s="123">
        <f>J105*'Bases calculs conso habitat '!$B$7</f>
        <v>6.481328</v>
      </c>
      <c r="L105" s="124" t="s">
        <v>750</v>
      </c>
      <c r="M105" s="124">
        <f>J105*'Bases calculs conso habitat '!$B$6</f>
        <v>7.200256000000001</v>
      </c>
      <c r="N105" s="124" t="s">
        <v>750</v>
      </c>
      <c r="O105" s="129"/>
      <c r="P105" s="126"/>
      <c r="Q105" s="130"/>
      <c r="R105" s="130"/>
      <c r="S105" s="90">
        <f>IF(U105&lt;1,0,(U105-1)*J105)</f>
        <v>0</v>
      </c>
      <c r="T105" s="91">
        <f>IF(U105&lt;1,0,IF($D$5="Simple tarif",(U105-1)*K105,(U105-1)*M105))</f>
        <v>0</v>
      </c>
      <c r="U105" s="132">
        <v>0</v>
      </c>
      <c r="V105" s="101"/>
      <c r="W105" s="152" t="s">
        <v>649</v>
      </c>
    </row>
    <row r="106" spans="2:23" ht="18.75" customHeight="1">
      <c r="B106" s="516"/>
      <c r="C106" s="514"/>
      <c r="D106" s="153" t="s">
        <v>542</v>
      </c>
      <c r="E106" s="154"/>
      <c r="F106" s="120">
        <v>12</v>
      </c>
      <c r="G106" s="120" t="s">
        <v>636</v>
      </c>
      <c r="H106" s="131">
        <v>1.8</v>
      </c>
      <c r="I106" s="128"/>
      <c r="J106" s="122">
        <f t="shared" si="13"/>
        <v>7.408800000000001</v>
      </c>
      <c r="K106" s="123">
        <f>J106*'Bases calculs conso habitat '!$B$7</f>
        <v>0.8749792800000001</v>
      </c>
      <c r="L106" s="124" t="s">
        <v>750</v>
      </c>
      <c r="M106" s="124" t="s">
        <v>750</v>
      </c>
      <c r="N106" s="124">
        <f>J106*3/10*'Bases calculs conso habitat '!$B$5+J106*7/10*'Bases calculs conso habitat '!$B$6</f>
        <v>0.8793504720000002</v>
      </c>
      <c r="O106" s="129"/>
      <c r="P106" s="126"/>
      <c r="Q106" s="130"/>
      <c r="R106" s="130"/>
      <c r="S106" s="90">
        <f t="shared" si="11"/>
        <v>0</v>
      </c>
      <c r="T106" s="91">
        <f>IF(U106=FALSE,0,IF($D$5="Simple tarif",K106,N106))</f>
        <v>0</v>
      </c>
      <c r="U106" s="149" t="b">
        <f>AND(U105&gt;1,$D$11="non")</f>
        <v>0</v>
      </c>
      <c r="V106" s="101"/>
      <c r="W106" s="152" t="s">
        <v>649</v>
      </c>
    </row>
    <row r="107" spans="2:23" ht="18.75" customHeight="1">
      <c r="B107" s="516"/>
      <c r="C107" s="144" t="s">
        <v>555</v>
      </c>
      <c r="D107" s="118"/>
      <c r="E107" s="30"/>
      <c r="F107" s="120"/>
      <c r="G107" s="120"/>
      <c r="H107" s="131">
        <v>9</v>
      </c>
      <c r="I107" s="128"/>
      <c r="J107" s="122">
        <f>H107*24*365/1000</f>
        <v>78.84</v>
      </c>
      <c r="K107" s="123">
        <f>J107*'Bases calculs conso habitat '!$B$7</f>
        <v>9.311004</v>
      </c>
      <c r="L107" s="124" t="s">
        <v>750</v>
      </c>
      <c r="M107" s="124" t="s">
        <v>750</v>
      </c>
      <c r="N107" s="124">
        <f>J107*3/10*'Bases calculs conso habitat '!$B$5+J107*7/10*'Bases calculs conso habitat '!$B$6</f>
        <v>9.3575196</v>
      </c>
      <c r="O107" s="129"/>
      <c r="P107" s="126"/>
      <c r="Q107" s="130"/>
      <c r="R107" s="130"/>
      <c r="S107" s="90">
        <f t="shared" si="11"/>
        <v>78.84</v>
      </c>
      <c r="T107" s="91">
        <f>IF(U107=FALSE,0,IF($D$5="Simple tarif",K107,N107))</f>
        <v>9.3575196</v>
      </c>
      <c r="U107" s="127" t="b">
        <f>TRUE</f>
        <v>1</v>
      </c>
      <c r="V107" s="101"/>
      <c r="W107" s="152" t="s">
        <v>649</v>
      </c>
    </row>
    <row r="108" spans="2:23" ht="18.75" customHeight="1">
      <c r="B108" s="516"/>
      <c r="C108" s="514" t="s">
        <v>556</v>
      </c>
      <c r="D108" s="118" t="s">
        <v>557</v>
      </c>
      <c r="E108" s="30"/>
      <c r="F108" s="120">
        <v>1.75</v>
      </c>
      <c r="G108" s="120" t="s">
        <v>636</v>
      </c>
      <c r="H108" s="131">
        <v>25</v>
      </c>
      <c r="I108" s="128"/>
      <c r="J108" s="122">
        <f>H108*F108*7*(52-$D$13)/1000</f>
        <v>15.00625</v>
      </c>
      <c r="K108" s="123">
        <f>J108*'Bases calculs conso habitat '!$B$7</f>
        <v>1.7722381249999999</v>
      </c>
      <c r="L108" s="124" t="s">
        <v>750</v>
      </c>
      <c r="M108" s="124">
        <f>J108*'Bases calculs conso habitat '!$B$6</f>
        <v>1.96882</v>
      </c>
      <c r="N108" s="124" t="s">
        <v>750</v>
      </c>
      <c r="O108" s="129"/>
      <c r="P108" s="126"/>
      <c r="Q108" s="130"/>
      <c r="R108" s="130"/>
      <c r="S108" s="90">
        <f t="shared" si="11"/>
        <v>0</v>
      </c>
      <c r="T108" s="91">
        <f>IF(U108=FALSE,0,IF($D$5="Simple tarif",K108,M108))</f>
        <v>0</v>
      </c>
      <c r="U108" s="127" t="b">
        <f>FALSE</f>
        <v>0</v>
      </c>
      <c r="V108" s="101"/>
      <c r="W108" s="152" t="s">
        <v>649</v>
      </c>
    </row>
    <row r="109" spans="2:23" ht="18.75" customHeight="1">
      <c r="B109" s="516"/>
      <c r="C109" s="514"/>
      <c r="D109" s="118" t="s">
        <v>558</v>
      </c>
      <c r="E109" s="30"/>
      <c r="F109" s="120">
        <v>1.75</v>
      </c>
      <c r="G109" s="120" t="s">
        <v>636</v>
      </c>
      <c r="H109" s="131">
        <v>35</v>
      </c>
      <c r="I109" s="128"/>
      <c r="J109" s="122">
        <f>H109*F109*7*(52-$D$13)/1000</f>
        <v>21.00875</v>
      </c>
      <c r="K109" s="123">
        <f>J109*'Bases calculs conso habitat '!$B$7</f>
        <v>2.4811333749999998</v>
      </c>
      <c r="L109" s="124" t="s">
        <v>750</v>
      </c>
      <c r="M109" s="124">
        <f>J109*'Bases calculs conso habitat '!$B$6</f>
        <v>2.756348</v>
      </c>
      <c r="N109" s="124" t="s">
        <v>750</v>
      </c>
      <c r="O109" s="129"/>
      <c r="P109" s="126"/>
      <c r="Q109" s="130"/>
      <c r="R109" s="130"/>
      <c r="S109" s="90">
        <f t="shared" si="11"/>
        <v>21.00875</v>
      </c>
      <c r="T109" s="91">
        <f>IF(U109=FALSE,0,IF($D$5="Simple tarif",K109,M109))</f>
        <v>2.756348</v>
      </c>
      <c r="U109" s="127" t="b">
        <f>TRUE</f>
        <v>1</v>
      </c>
      <c r="V109" s="101"/>
      <c r="W109" s="152" t="s">
        <v>649</v>
      </c>
    </row>
    <row r="110" spans="2:23" ht="18.75" customHeight="1">
      <c r="B110" s="516"/>
      <c r="C110" s="514"/>
      <c r="D110" s="153" t="s">
        <v>542</v>
      </c>
      <c r="E110" s="154"/>
      <c r="F110" s="120">
        <v>13</v>
      </c>
      <c r="G110" s="120" t="s">
        <v>636</v>
      </c>
      <c r="H110" s="131">
        <v>2.6</v>
      </c>
      <c r="I110" s="128"/>
      <c r="J110" s="122">
        <f>H110*F110*7*(52-$D$13)/1000</f>
        <v>11.5934</v>
      </c>
      <c r="K110" s="123">
        <f>J110*'Bases calculs conso habitat '!$B$7</f>
        <v>1.3691805400000001</v>
      </c>
      <c r="L110" s="124" t="s">
        <v>750</v>
      </c>
      <c r="M110" s="124" t="s">
        <v>750</v>
      </c>
      <c r="N110" s="124">
        <f>J110*3/10*'Bases calculs conso habitat '!$B$5+J110*7/10*'Bases calculs conso habitat '!$B$6</f>
        <v>1.376020646</v>
      </c>
      <c r="O110" s="129"/>
      <c r="P110" s="126"/>
      <c r="Q110" s="130"/>
      <c r="R110" s="130"/>
      <c r="S110" s="90">
        <f t="shared" si="11"/>
        <v>0</v>
      </c>
      <c r="T110" s="91">
        <f>IF(U110=FALSE,0,IF($D$5="Simple tarif",K110,N110))</f>
        <v>0</v>
      </c>
      <c r="U110" s="149" t="b">
        <f>AND(OR(U108,U109),$D$11="non")</f>
        <v>0</v>
      </c>
      <c r="V110" s="101"/>
      <c r="W110" s="152" t="s">
        <v>649</v>
      </c>
    </row>
    <row r="111" spans="2:23" ht="18.75" customHeight="1">
      <c r="B111" s="516"/>
      <c r="C111" s="514" t="s">
        <v>559</v>
      </c>
      <c r="D111" s="118"/>
      <c r="E111" s="30"/>
      <c r="F111" s="120">
        <v>1</v>
      </c>
      <c r="G111" s="120" t="s">
        <v>636</v>
      </c>
      <c r="H111" s="131">
        <v>25</v>
      </c>
      <c r="I111" s="128"/>
      <c r="J111" s="122">
        <f>H111*F111*7*(52-$D$13)/1000</f>
        <v>8.575</v>
      </c>
      <c r="K111" s="123">
        <f>J111*'Bases calculs conso habitat '!$B$7</f>
        <v>1.0127074999999999</v>
      </c>
      <c r="L111" s="124" t="s">
        <v>750</v>
      </c>
      <c r="M111" s="124">
        <f>J111*'Bases calculs conso habitat '!$B$6</f>
        <v>1.12504</v>
      </c>
      <c r="N111" s="124" t="s">
        <v>750</v>
      </c>
      <c r="O111" s="129"/>
      <c r="P111" s="126"/>
      <c r="Q111" s="130"/>
      <c r="R111" s="130"/>
      <c r="S111" s="90">
        <f t="shared" si="11"/>
        <v>0</v>
      </c>
      <c r="T111" s="91">
        <f>IF(U111=FALSE,0,IF($D$5="Simple tarif",K111,M111))</f>
        <v>0</v>
      </c>
      <c r="U111" s="127" t="b">
        <f>FALSE</f>
        <v>0</v>
      </c>
      <c r="V111" s="101"/>
      <c r="W111" s="152" t="s">
        <v>649</v>
      </c>
    </row>
    <row r="112" spans="2:23" ht="18.75" customHeight="1">
      <c r="B112" s="516"/>
      <c r="C112" s="514"/>
      <c r="D112" s="153" t="s">
        <v>542</v>
      </c>
      <c r="E112" s="154"/>
      <c r="F112" s="120">
        <v>12</v>
      </c>
      <c r="G112" s="120" t="s">
        <v>636</v>
      </c>
      <c r="H112" s="131">
        <v>6.3</v>
      </c>
      <c r="I112" s="128"/>
      <c r="J112" s="122">
        <f>H112*F112*7*(52-$D$13)/1000</f>
        <v>25.930799999999994</v>
      </c>
      <c r="K112" s="123">
        <f>J112*'Bases calculs conso habitat '!$B$7</f>
        <v>3.0624274799999993</v>
      </c>
      <c r="L112" s="124" t="s">
        <v>750</v>
      </c>
      <c r="M112" s="124" t="s">
        <v>750</v>
      </c>
      <c r="N112" s="124">
        <f>J112*3/10*'Bases calculs conso habitat '!$B$5+J112*7/10*'Bases calculs conso habitat '!$B$6</f>
        <v>3.0777266519999995</v>
      </c>
      <c r="O112" s="129"/>
      <c r="P112" s="126"/>
      <c r="Q112" s="130"/>
      <c r="R112" s="130"/>
      <c r="S112" s="90">
        <f t="shared" si="11"/>
        <v>0</v>
      </c>
      <c r="T112" s="91">
        <f>IF(U112=FALSE,0,IF($D$5="Simple tarif",K112,N112))</f>
        <v>0</v>
      </c>
      <c r="U112" s="149" t="b">
        <f>AND(U111,$D$11="non")</f>
        <v>0</v>
      </c>
      <c r="V112" s="101"/>
      <c r="W112" s="152" t="s">
        <v>649</v>
      </c>
    </row>
    <row r="113" spans="2:23" ht="19.5" customHeight="1">
      <c r="B113" s="516"/>
      <c r="C113" s="144" t="s">
        <v>560</v>
      </c>
      <c r="D113" s="118"/>
      <c r="E113" s="30"/>
      <c r="F113" s="120"/>
      <c r="G113" s="120"/>
      <c r="H113" s="131">
        <v>2.9</v>
      </c>
      <c r="I113" s="128"/>
      <c r="J113" s="122">
        <f>H113*24*365/1000</f>
        <v>25.403999999999996</v>
      </c>
      <c r="K113" s="123">
        <f>J113*'Bases calculs conso habitat '!$B$7</f>
        <v>3.0002123999999997</v>
      </c>
      <c r="L113" s="124" t="s">
        <v>750</v>
      </c>
      <c r="M113" s="124" t="s">
        <v>750</v>
      </c>
      <c r="N113" s="124">
        <f>J113*3/10*'Bases calculs conso habitat '!$B$5+J113*7/10*'Bases calculs conso habitat '!$B$6</f>
        <v>3.01520076</v>
      </c>
      <c r="O113" s="129"/>
      <c r="P113" s="126"/>
      <c r="Q113" s="130"/>
      <c r="R113" s="130"/>
      <c r="S113" s="90">
        <f>IF(U113&lt;1,0,(U113-1)*J113)</f>
        <v>25.403999999999996</v>
      </c>
      <c r="T113" s="91">
        <f>IF(U113&lt;1,0,IF($D$5="Simple tarif",(U113-1)*K113,(U113-1)*N113))</f>
        <v>3.01520076</v>
      </c>
      <c r="U113" s="132">
        <v>2</v>
      </c>
      <c r="V113" s="101"/>
      <c r="W113" s="152" t="s">
        <v>561</v>
      </c>
    </row>
    <row r="114" spans="2:23" ht="19.5" customHeight="1">
      <c r="B114" s="516"/>
      <c r="C114" s="162" t="s">
        <v>562</v>
      </c>
      <c r="D114" s="118"/>
      <c r="E114" s="30"/>
      <c r="F114" s="120">
        <v>2</v>
      </c>
      <c r="G114" s="120" t="s">
        <v>563</v>
      </c>
      <c r="H114" s="121">
        <v>0.05</v>
      </c>
      <c r="I114" s="128"/>
      <c r="J114" s="122">
        <f>H114*F114*(52-$D$13)</f>
        <v>4.9</v>
      </c>
      <c r="K114" s="123">
        <f>J114*'Bases calculs conso habitat '!$B$7</f>
        <v>0.57869</v>
      </c>
      <c r="L114" s="124" t="s">
        <v>750</v>
      </c>
      <c r="M114" s="124">
        <f>J114*'Bases calculs conso habitat '!$B$6</f>
        <v>0.6428800000000001</v>
      </c>
      <c r="N114" s="124" t="s">
        <v>750</v>
      </c>
      <c r="O114" s="129"/>
      <c r="P114" s="126"/>
      <c r="Q114" s="130"/>
      <c r="R114" s="130"/>
      <c r="S114" s="90">
        <f>IF(U114&lt;1,0,(U114-1)*J114)</f>
        <v>9.8</v>
      </c>
      <c r="T114" s="91">
        <f>IF(U114&lt;1,0,IF($D$5="Simple tarif",(U114-1)*K114,(U114-1)*M114))</f>
        <v>1.2857600000000002</v>
      </c>
      <c r="U114" s="132">
        <v>3</v>
      </c>
      <c r="V114" s="101"/>
      <c r="W114" s="152" t="s">
        <v>564</v>
      </c>
    </row>
    <row r="115" spans="2:23" ht="19.5" customHeight="1">
      <c r="B115" s="508" t="s">
        <v>565</v>
      </c>
      <c r="C115" s="517" t="s">
        <v>566</v>
      </c>
      <c r="D115" s="118"/>
      <c r="E115" s="30"/>
      <c r="F115" s="120">
        <v>1.5</v>
      </c>
      <c r="G115" s="120" t="s">
        <v>636</v>
      </c>
      <c r="H115" s="131">
        <v>15</v>
      </c>
      <c r="I115" s="120"/>
      <c r="J115" s="122">
        <f>H115*F115*7*(52-$D$13)/1000</f>
        <v>7.7175</v>
      </c>
      <c r="K115" s="123">
        <f>J115*'Bases calculs conso habitat '!$B$7</f>
        <v>0.91143675</v>
      </c>
      <c r="L115" s="124" t="s">
        <v>750</v>
      </c>
      <c r="M115" s="124">
        <f>J115*'Bases calculs conso habitat '!$B$6</f>
        <v>1.012536</v>
      </c>
      <c r="N115" s="124" t="s">
        <v>750</v>
      </c>
      <c r="O115" s="129"/>
      <c r="P115" s="163"/>
      <c r="Q115" s="130"/>
      <c r="R115" s="13"/>
      <c r="S115" s="90">
        <f>IF(U115&lt;1,0,(U115-1)*J115)</f>
        <v>0</v>
      </c>
      <c r="T115" s="91">
        <f>IF(U115&lt;1,0,IF($D$5="Simple tarif",(U115-1)*K115,(U115-1)*M115))</f>
        <v>0</v>
      </c>
      <c r="U115" s="132"/>
      <c r="V115" s="101"/>
      <c r="W115" s="152" t="s">
        <v>649</v>
      </c>
    </row>
    <row r="116" spans="2:23" ht="18.75" customHeight="1">
      <c r="B116" s="508"/>
      <c r="C116" s="517"/>
      <c r="D116" s="153" t="s">
        <v>542</v>
      </c>
      <c r="E116" s="30"/>
      <c r="F116" s="120"/>
      <c r="G116" s="120"/>
      <c r="H116" s="131">
        <v>1.5</v>
      </c>
      <c r="I116" s="120"/>
      <c r="J116" s="122">
        <f>H116*(24-F115)*7*52/1000</f>
        <v>12.285</v>
      </c>
      <c r="K116" s="123">
        <f>J116*'Bases calculs conso habitat '!$B$7</f>
        <v>1.4508585</v>
      </c>
      <c r="L116" s="124" t="s">
        <v>750</v>
      </c>
      <c r="M116" s="124" t="s">
        <v>750</v>
      </c>
      <c r="N116" s="124">
        <f>J116*3/10*'Bases calculs conso habitat '!$B$5+J116*7/10*'Bases calculs conso habitat '!$B$6</f>
        <v>1.4581066500000002</v>
      </c>
      <c r="O116" s="129"/>
      <c r="P116" s="163"/>
      <c r="Q116" s="130"/>
      <c r="R116" s="13"/>
      <c r="S116" s="90">
        <f t="shared" si="11"/>
        <v>0</v>
      </c>
      <c r="T116" s="91">
        <f>IF(U116=FALSE,0,IF($D$5="Simple tarif",K116,N116))</f>
        <v>0</v>
      </c>
      <c r="U116" s="127" t="b">
        <f>FALSE</f>
        <v>0</v>
      </c>
      <c r="V116" s="101"/>
      <c r="W116" s="152" t="s">
        <v>649</v>
      </c>
    </row>
    <row r="117" spans="2:23" ht="19.5" customHeight="1">
      <c r="B117" s="508"/>
      <c r="C117" s="162" t="s">
        <v>567</v>
      </c>
      <c r="D117" s="118"/>
      <c r="E117" s="30"/>
      <c r="F117" s="120">
        <v>8</v>
      </c>
      <c r="G117" s="120" t="s">
        <v>636</v>
      </c>
      <c r="H117" s="131">
        <v>10</v>
      </c>
      <c r="I117" s="120"/>
      <c r="J117" s="122">
        <f>H117*F117*7*(52-$D$13)/1000</f>
        <v>27.44</v>
      </c>
      <c r="K117" s="123">
        <f>J117*'Bases calculs conso habitat '!$B$7</f>
        <v>3.240664</v>
      </c>
      <c r="L117" s="124" t="s">
        <v>750</v>
      </c>
      <c r="M117" s="124" t="s">
        <v>750</v>
      </c>
      <c r="N117" s="124">
        <f>J117*3/10*'Bases calculs conso habitat '!$B$5+J117*7/10*'Bases calculs conso habitat '!$B$6</f>
        <v>3.2568536000000003</v>
      </c>
      <c r="O117" s="129"/>
      <c r="P117" s="163"/>
      <c r="Q117" s="130"/>
      <c r="R117" s="13"/>
      <c r="S117" s="90">
        <f>IF(U117&lt;1,0,(U117-1)*J117)</f>
        <v>0</v>
      </c>
      <c r="T117" s="91">
        <f>IF(U117&lt;1,0,IF($D$5="Simple tarif",(U117-1)*K117,(U117-1)*N117))</f>
        <v>0</v>
      </c>
      <c r="U117" s="132"/>
      <c r="V117" s="101"/>
      <c r="W117" s="101" t="s">
        <v>745</v>
      </c>
    </row>
    <row r="118" spans="2:23" ht="19.5" customHeight="1">
      <c r="B118" s="508"/>
      <c r="C118" s="162" t="s">
        <v>568</v>
      </c>
      <c r="D118" s="118"/>
      <c r="E118" s="30"/>
      <c r="F118" s="120"/>
      <c r="G118" s="120"/>
      <c r="H118" s="131">
        <v>1.5</v>
      </c>
      <c r="I118" s="120"/>
      <c r="J118" s="122">
        <f>H118*365*24/1000</f>
        <v>13.14</v>
      </c>
      <c r="K118" s="123">
        <f>J118*'Bases calculs conso habitat '!$B$7</f>
        <v>1.551834</v>
      </c>
      <c r="L118" s="124" t="s">
        <v>750</v>
      </c>
      <c r="M118" s="124" t="s">
        <v>750</v>
      </c>
      <c r="N118" s="124">
        <f>J118*3/10*'Bases calculs conso habitat '!$B$5+J118*7/10*'Bases calculs conso habitat '!$B$6</f>
        <v>1.5595866</v>
      </c>
      <c r="O118" s="129"/>
      <c r="P118" s="163"/>
      <c r="Q118" s="130"/>
      <c r="R118" s="13"/>
      <c r="S118" s="90">
        <f>IF(U118&lt;1,0,(U118-1)*J118)</f>
        <v>13.14</v>
      </c>
      <c r="T118" s="91">
        <f>IF(U118&lt;1,0,IF($D$5="Simple tarif",(U118-1)*K118,(U118-1)*N118))</f>
        <v>1.5595866</v>
      </c>
      <c r="U118" s="132">
        <v>2</v>
      </c>
      <c r="V118" s="101"/>
      <c r="W118" s="152" t="s">
        <v>564</v>
      </c>
    </row>
    <row r="119" spans="2:23" ht="19.5" customHeight="1">
      <c r="B119" s="508"/>
      <c r="C119" s="144" t="s">
        <v>569</v>
      </c>
      <c r="D119" s="118"/>
      <c r="E119" s="30"/>
      <c r="F119" s="120">
        <v>4</v>
      </c>
      <c r="G119" s="120" t="s">
        <v>570</v>
      </c>
      <c r="H119" s="164"/>
      <c r="I119" s="164">
        <v>100</v>
      </c>
      <c r="J119" s="122">
        <f>(12*24*365+50*12*365)/1000</f>
        <v>324.12</v>
      </c>
      <c r="K119" s="123">
        <f>J119*'Bases calculs conso habitat '!$B$7</f>
        <v>38.278572</v>
      </c>
      <c r="L119" s="124" t="s">
        <v>750</v>
      </c>
      <c r="M119" s="124">
        <f>J119*'Bases calculs conso habitat '!$B$6</f>
        <v>42.524544000000006</v>
      </c>
      <c r="N119" s="124" t="s">
        <v>750</v>
      </c>
      <c r="O119" s="125">
        <f aca="true" t="shared" si="14" ref="O119:O124">F119*I119/1000</f>
        <v>0.4</v>
      </c>
      <c r="P119" s="126">
        <f>O119*'Bases calculs conso habitat '!$B13</f>
        <v>1.3123356</v>
      </c>
      <c r="Q119" s="92">
        <f>IF(U119&lt;1,0,(U119-1)*F119*I119/1000)</f>
        <v>0</v>
      </c>
      <c r="R119" s="93">
        <f>Q119*'Bases calculs conso habitat '!$B13</f>
        <v>0</v>
      </c>
      <c r="S119" s="90">
        <f>IF(U119&lt;1,0,(U119-1)*J119)</f>
        <v>0</v>
      </c>
      <c r="T119" s="91">
        <f>IF(U119&lt;1,0,IF($D$5="Simple tarif",(U119-1)*K119,(U119-1)*M119))</f>
        <v>0</v>
      </c>
      <c r="U119" s="132"/>
      <c r="V119" s="101"/>
      <c r="W119" s="152" t="s">
        <v>571</v>
      </c>
    </row>
    <row r="120" spans="2:23" ht="19.5" customHeight="1">
      <c r="B120" s="508"/>
      <c r="C120" s="162" t="s">
        <v>572</v>
      </c>
      <c r="D120" s="118"/>
      <c r="E120" s="30"/>
      <c r="F120" s="120">
        <v>4</v>
      </c>
      <c r="G120" s="120" t="s">
        <v>570</v>
      </c>
      <c r="H120" s="164"/>
      <c r="I120" s="164">
        <v>100</v>
      </c>
      <c r="J120" s="122">
        <f>(12*24*365+50*12*365+100*20/100*24*365+4.18/3600*(25-19)*5000*52)/1000</f>
        <v>501.1313333333333</v>
      </c>
      <c r="K120" s="123">
        <f>J120*'Bases calculs conso habitat '!$B$7</f>
        <v>59.183610466666664</v>
      </c>
      <c r="L120" s="124" t="s">
        <v>750</v>
      </c>
      <c r="M120" s="124">
        <f>J120*'Bases calculs conso habitat '!$B$6</f>
        <v>65.74843093333334</v>
      </c>
      <c r="N120" s="124" t="s">
        <v>750</v>
      </c>
      <c r="O120" s="125">
        <f t="shared" si="14"/>
        <v>0.4</v>
      </c>
      <c r="P120" s="126">
        <f>O120*'Bases calculs conso habitat '!$B13</f>
        <v>1.3123356</v>
      </c>
      <c r="Q120" s="92">
        <f>IF(U120&lt;1,0,(U120-1)*(F120*I120+5*52)/1000)</f>
        <v>0</v>
      </c>
      <c r="R120" s="93">
        <f>Q120*'Bases calculs conso habitat '!$B13</f>
        <v>0</v>
      </c>
      <c r="S120" s="90">
        <f>IF(U120&lt;1,0,(U120-1)*J120)</f>
        <v>0</v>
      </c>
      <c r="T120" s="91">
        <f>IF(U120&lt;1,0,IF($D$5="Simple tarif",(U120-1)*K120,(U120-1)*M120))</f>
        <v>0</v>
      </c>
      <c r="U120" s="132"/>
      <c r="V120" s="101"/>
      <c r="W120" s="152" t="s">
        <v>573</v>
      </c>
    </row>
    <row r="121" spans="2:23" ht="19.5" customHeight="1">
      <c r="B121" s="508"/>
      <c r="C121" s="162" t="s">
        <v>574</v>
      </c>
      <c r="D121" s="118"/>
      <c r="E121" s="30"/>
      <c r="F121" s="120"/>
      <c r="G121" s="120"/>
      <c r="H121" s="164"/>
      <c r="I121" s="164"/>
      <c r="J121" s="122">
        <f>(40*12*365+40*50/100*24*365)/1000</f>
        <v>350.4</v>
      </c>
      <c r="K121" s="123">
        <f>J121*'Bases calculs conso habitat '!$B$7</f>
        <v>41.382239999999996</v>
      </c>
      <c r="L121" s="124" t="s">
        <v>750</v>
      </c>
      <c r="M121" s="124">
        <f>J121*'Bases calculs conso habitat '!$B$6</f>
        <v>45.97248</v>
      </c>
      <c r="N121" s="124" t="s">
        <v>750</v>
      </c>
      <c r="O121" s="125">
        <f t="shared" si="14"/>
        <v>0</v>
      </c>
      <c r="P121" s="126">
        <f>O121*'Bases calculs conso habitat '!$B13</f>
        <v>0</v>
      </c>
      <c r="Q121" s="130"/>
      <c r="R121" s="13"/>
      <c r="S121" s="90">
        <f>IF(U121&lt;1,0,(U121-1)*J121)</f>
        <v>0</v>
      </c>
      <c r="T121" s="91">
        <f>IF(U121&lt;1,0,IF($D$5="Simple tarif",(U121-1)*K121,(U121-1)*M121))</f>
        <v>0</v>
      </c>
      <c r="U121" s="132"/>
      <c r="V121" s="101"/>
      <c r="W121" s="152" t="s">
        <v>575</v>
      </c>
    </row>
    <row r="122" spans="2:23" ht="19.5" customHeight="1">
      <c r="B122" s="508"/>
      <c r="C122" s="162" t="s">
        <v>576</v>
      </c>
      <c r="D122" s="118"/>
      <c r="E122" s="30"/>
      <c r="F122" s="120"/>
      <c r="G122" s="120"/>
      <c r="H122" s="164"/>
      <c r="I122" s="164"/>
      <c r="J122" s="122">
        <f>470*7.5*110/1000</f>
        <v>387.75</v>
      </c>
      <c r="K122" s="123">
        <f>J122*'Bases calculs conso habitat '!$B$7</f>
        <v>45.793275</v>
      </c>
      <c r="L122" s="124" t="s">
        <v>750</v>
      </c>
      <c r="M122" s="124">
        <f>J122*'Bases calculs conso habitat '!$B$6</f>
        <v>50.872800000000005</v>
      </c>
      <c r="N122" s="124" t="s">
        <v>750</v>
      </c>
      <c r="O122" s="125">
        <f t="shared" si="14"/>
        <v>0</v>
      </c>
      <c r="P122" s="126">
        <f>O122*'Bases calculs conso habitat '!$B13</f>
        <v>0</v>
      </c>
      <c r="Q122" s="92">
        <f>(IF(U122=FALSE,0,16.5))</f>
        <v>0</v>
      </c>
      <c r="R122" s="93">
        <f>Q122*'Bases calculs conso habitat '!$B13</f>
        <v>0</v>
      </c>
      <c r="S122" s="90">
        <f>IF(U122=FALSE,0,J122)</f>
        <v>0</v>
      </c>
      <c r="T122" s="91">
        <f>IF(U122=FALSE,0,IF($D$5="Simple tarif",K122,M122))</f>
        <v>0</v>
      </c>
      <c r="U122" s="127" t="b">
        <f>FALSE</f>
        <v>0</v>
      </c>
      <c r="V122" s="101"/>
      <c r="W122" s="152" t="s">
        <v>577</v>
      </c>
    </row>
    <row r="123" spans="2:23" ht="19.5" customHeight="1">
      <c r="B123" s="508"/>
      <c r="C123" s="162" t="s">
        <v>578</v>
      </c>
      <c r="D123" s="118" t="s">
        <v>579</v>
      </c>
      <c r="E123" s="30"/>
      <c r="F123" s="120"/>
      <c r="G123" s="120"/>
      <c r="H123" s="164"/>
      <c r="I123" s="164"/>
      <c r="J123" s="122">
        <f>(1000*24+100*4.3)*185/1000</f>
        <v>4519.55</v>
      </c>
      <c r="K123" s="123">
        <f>J123*'Bases calculs conso habitat '!$B$7</f>
        <v>533.758855</v>
      </c>
      <c r="L123" s="124" t="s">
        <v>750</v>
      </c>
      <c r="M123" s="124">
        <f>J123*'Bases calculs conso habitat '!$B$6</f>
        <v>592.96496</v>
      </c>
      <c r="N123" s="124" t="s">
        <v>750</v>
      </c>
      <c r="O123" s="125">
        <f t="shared" si="14"/>
        <v>0</v>
      </c>
      <c r="P123" s="126">
        <f>O123*'Bases calculs conso habitat '!$B13</f>
        <v>0</v>
      </c>
      <c r="Q123" s="92">
        <f>(IF(U123=FALSE,0,45))</f>
        <v>0</v>
      </c>
      <c r="R123" s="93">
        <f>Q123*'Bases calculs conso habitat '!$B13</f>
        <v>0</v>
      </c>
      <c r="S123" s="90">
        <f>IF(U123=FALSE,0,J123)</f>
        <v>0</v>
      </c>
      <c r="T123" s="91">
        <f>IF(U123=FALSE,0,IF($D$5="Simple tarif",K123,M123))</f>
        <v>0</v>
      </c>
      <c r="U123" s="127" t="b">
        <f>FALSE</f>
        <v>0</v>
      </c>
      <c r="V123" s="101"/>
      <c r="W123" s="152" t="s">
        <v>580</v>
      </c>
    </row>
    <row r="124" spans="2:23" ht="19.5" customHeight="1">
      <c r="B124" s="508"/>
      <c r="C124" s="165"/>
      <c r="D124" s="118" t="s">
        <v>581</v>
      </c>
      <c r="E124" s="30"/>
      <c r="F124" s="120">
        <v>11</v>
      </c>
      <c r="G124" s="120" t="s">
        <v>636</v>
      </c>
      <c r="H124" s="164"/>
      <c r="I124" s="164"/>
      <c r="J124" s="122">
        <f>(1000*F124+100*4.3)*185/1000</f>
        <v>2114.55</v>
      </c>
      <c r="K124" s="123">
        <f>J124*'Bases calculs conso habitat '!$B$7</f>
        <v>249.72835500000002</v>
      </c>
      <c r="L124" s="124" t="s">
        <v>750</v>
      </c>
      <c r="M124" s="124">
        <f>J124*'Bases calculs conso habitat '!$B$6</f>
        <v>277.4289600000001</v>
      </c>
      <c r="N124" s="124" t="s">
        <v>750</v>
      </c>
      <c r="O124" s="125">
        <f t="shared" si="14"/>
        <v>0</v>
      </c>
      <c r="P124" s="126">
        <f>O124*'Bases calculs conso habitat '!$B13</f>
        <v>0</v>
      </c>
      <c r="Q124" s="92">
        <f>(IF(U124=FALSE,0,45))</f>
        <v>0</v>
      </c>
      <c r="R124" s="93">
        <f>Q124*'Bases calculs conso habitat '!$B13</f>
        <v>0</v>
      </c>
      <c r="S124" s="90">
        <f>IF(U124=FALSE,0,J124)</f>
        <v>0</v>
      </c>
      <c r="T124" s="91">
        <f>IF(U124=FALSE,0,IF($D$5="Simple tarif",K124,M124))</f>
        <v>0</v>
      </c>
      <c r="U124" s="127" t="b">
        <f>FALSE</f>
        <v>0</v>
      </c>
      <c r="V124" s="101"/>
      <c r="W124" s="152" t="s">
        <v>582</v>
      </c>
    </row>
    <row r="125" spans="2:23" ht="18.75" customHeight="1">
      <c r="B125" s="508" t="s">
        <v>702</v>
      </c>
      <c r="C125" s="514" t="s">
        <v>583</v>
      </c>
      <c r="D125" s="118"/>
      <c r="E125" s="166">
        <f>H5</f>
        <v>2</v>
      </c>
      <c r="F125" s="120">
        <v>5</v>
      </c>
      <c r="G125" s="120" t="s">
        <v>584</v>
      </c>
      <c r="H125" s="131"/>
      <c r="I125" s="131">
        <v>10</v>
      </c>
      <c r="J125" s="122">
        <f>E125*1.1*(38-12)*4180/3600/1000*I125*F125*7*(52-$D$13)</f>
        <v>1139.0267777777779</v>
      </c>
      <c r="K125" s="123">
        <f>J125*'Bases calculs conso habitat '!$B$7</f>
        <v>134.51906245555557</v>
      </c>
      <c r="L125" s="124">
        <f>J125*'Bases calculs conso habitat '!$B$5</f>
        <v>101.94289661111111</v>
      </c>
      <c r="M125" s="129" t="s">
        <v>750</v>
      </c>
      <c r="N125" s="124" t="s">
        <v>750</v>
      </c>
      <c r="O125" s="125">
        <f>E125*F125*I125*7*(52-$D$13)/1000</f>
        <v>34.3</v>
      </c>
      <c r="P125" s="126">
        <f>O125*'Bases calculs conso habitat '!$B13</f>
        <v>112.53277769999998</v>
      </c>
      <c r="Q125" s="92">
        <f>IF(U126=FALSE,E125*F125*I125*7*(52-$D$13)/1000,0)</f>
        <v>34.3</v>
      </c>
      <c r="R125" s="93">
        <f>Q125*'Bases calculs conso habitat '!$B13</f>
        <v>112.53277769999998</v>
      </c>
      <c r="S125" s="90">
        <f>IF($D$15="oui",IF(U126=FALSE,J125,0),0)</f>
        <v>0</v>
      </c>
      <c r="T125" s="91">
        <f>IF($D$15="oui",IF(U126=FALSE,IF($D$5="Simple tarif",K125,L125),0),0)</f>
        <v>0</v>
      </c>
      <c r="U125" s="132"/>
      <c r="V125" s="101"/>
      <c r="W125" s="101" t="s">
        <v>585</v>
      </c>
    </row>
    <row r="126" spans="2:23" ht="18.75" customHeight="1">
      <c r="B126" s="508"/>
      <c r="C126" s="514"/>
      <c r="D126" s="167" t="s">
        <v>586</v>
      </c>
      <c r="E126" s="168"/>
      <c r="F126" s="120"/>
      <c r="G126" s="120"/>
      <c r="H126" s="131"/>
      <c r="I126" s="131">
        <v>6</v>
      </c>
      <c r="J126" s="122">
        <f>E125*1.1*(38-12)*4180/3600/1000*I126*F125*7*(52-$D$13)</f>
        <v>683.4160666666667</v>
      </c>
      <c r="K126" s="123">
        <f>J126*'Bases calculs conso habitat '!$B$7</f>
        <v>80.71143747333333</v>
      </c>
      <c r="L126" s="124">
        <f>J126*'Bases calculs conso habitat '!$B$5</f>
        <v>61.16573796666666</v>
      </c>
      <c r="M126" s="129" t="s">
        <v>750</v>
      </c>
      <c r="N126" s="124" t="s">
        <v>750</v>
      </c>
      <c r="O126" s="125">
        <f>E125*F125*I126*7*(52-$D$13)/1000</f>
        <v>20.58</v>
      </c>
      <c r="P126" s="126">
        <f>O126*'Bases calculs conso habitat '!$B13</f>
        <v>67.51966662</v>
      </c>
      <c r="Q126" s="92">
        <f>IF(U126=TRUE,E125*F125*I126*7*(52-$D$13)/1000,0)</f>
        <v>0</v>
      </c>
      <c r="R126" s="93">
        <f>Q126*'Bases calculs conso habitat '!$B13</f>
        <v>0</v>
      </c>
      <c r="S126" s="90">
        <f>IF($D$15="oui",IF(U126=TRUE,J126,0),0)</f>
        <v>0</v>
      </c>
      <c r="T126" s="91">
        <f>IF($D$15="oui",IF(U126=TRUE,IF($D$5="Simple tarif",K126,L126),0),0)</f>
        <v>0</v>
      </c>
      <c r="U126" s="127" t="b">
        <f>FALSE</f>
        <v>0</v>
      </c>
      <c r="V126" s="101"/>
      <c r="W126" s="101" t="s">
        <v>585</v>
      </c>
    </row>
    <row r="127" spans="2:23" ht="18.75" customHeight="1">
      <c r="B127" s="508"/>
      <c r="C127" s="514" t="s">
        <v>587</v>
      </c>
      <c r="D127" s="118"/>
      <c r="E127" s="166">
        <f>H7</f>
        <v>2</v>
      </c>
      <c r="F127" s="120">
        <v>5</v>
      </c>
      <c r="G127" s="120" t="s">
        <v>584</v>
      </c>
      <c r="H127" s="131"/>
      <c r="I127" s="131">
        <v>10</v>
      </c>
      <c r="J127" s="122">
        <f>E127*1.1*(38-12)*4180/3600/1000*I127*F127*7*(52-$D$13)</f>
        <v>1139.0267777777779</v>
      </c>
      <c r="K127" s="123">
        <f>J127*'Bases calculs conso habitat '!$B$7</f>
        <v>134.51906245555557</v>
      </c>
      <c r="L127" s="124">
        <f>J127*'Bases calculs conso habitat '!$B$5</f>
        <v>101.94289661111111</v>
      </c>
      <c r="M127" s="129" t="s">
        <v>750</v>
      </c>
      <c r="N127" s="124" t="s">
        <v>750</v>
      </c>
      <c r="O127" s="125">
        <f>E127*F127*I127*7*(52-$D$13)/1000</f>
        <v>34.3</v>
      </c>
      <c r="P127" s="126">
        <f>O127*'Bases calculs conso habitat '!$B13</f>
        <v>112.53277769999998</v>
      </c>
      <c r="Q127" s="92">
        <f>IF(U126=FALSE,E127*F127*I127*7*(52-$D$13)/1000,0)</f>
        <v>34.3</v>
      </c>
      <c r="R127" s="93">
        <f>Q127*'Bases calculs conso habitat '!$B13</f>
        <v>112.53277769999998</v>
      </c>
      <c r="S127" s="90">
        <f>IF($D$15="oui",IF(U126=FALSE,J127,0),0)</f>
        <v>0</v>
      </c>
      <c r="T127" s="91">
        <f>IF($D$15="oui",IF(U126=FALSE,IF($D$5="Simple tarif",K127,L127),0),0)</f>
        <v>0</v>
      </c>
      <c r="U127" s="132"/>
      <c r="V127" s="101"/>
      <c r="W127" s="101" t="s">
        <v>585</v>
      </c>
    </row>
    <row r="128" spans="2:23" ht="18.75" customHeight="1">
      <c r="B128" s="508"/>
      <c r="C128" s="514"/>
      <c r="D128" s="167" t="s">
        <v>586</v>
      </c>
      <c r="E128" s="166"/>
      <c r="F128" s="120"/>
      <c r="G128" s="120"/>
      <c r="H128" s="131"/>
      <c r="I128" s="131">
        <v>6</v>
      </c>
      <c r="J128" s="122">
        <f>E127*1.1*(38-12)*4180/3600/1000*I128*F127*7*(52-$D$13)</f>
        <v>683.4160666666667</v>
      </c>
      <c r="K128" s="123">
        <f>J128*'Bases calculs conso habitat '!$B$7</f>
        <v>80.71143747333333</v>
      </c>
      <c r="L128" s="124">
        <f>J128*'Bases calculs conso habitat '!$B$5</f>
        <v>61.16573796666666</v>
      </c>
      <c r="M128" s="129" t="s">
        <v>750</v>
      </c>
      <c r="N128" s="124" t="s">
        <v>750</v>
      </c>
      <c r="O128" s="125">
        <f>E128*F128*I128*7*(52-$D$13)/1000</f>
        <v>0</v>
      </c>
      <c r="P128" s="126">
        <f>O128*'Bases calculs conso habitat '!$B13</f>
        <v>0</v>
      </c>
      <c r="Q128" s="92">
        <f>IF(U126=TRUE,E127*F127*I128*7*(52-$D$13)/1000,0)</f>
        <v>0</v>
      </c>
      <c r="R128" s="93">
        <f>Q128*'Bases calculs conso habitat '!$B13</f>
        <v>0</v>
      </c>
      <c r="S128" s="90">
        <f>IF($D$15="oui",IF(U126=TRUE,J128,0),0)</f>
        <v>0</v>
      </c>
      <c r="T128" s="91">
        <f>IF($D$15="oui",IF(U126=TRUE,IF($D$5="Simple tarif",K128,L128),0),0)</f>
        <v>0</v>
      </c>
      <c r="U128" s="132"/>
      <c r="V128" s="101"/>
      <c r="W128" s="101" t="s">
        <v>585</v>
      </c>
    </row>
    <row r="129" spans="2:23" ht="18.75" customHeight="1">
      <c r="B129" s="508"/>
      <c r="C129" s="514" t="s">
        <v>588</v>
      </c>
      <c r="D129" s="118"/>
      <c r="E129" s="166">
        <f>H9</f>
        <v>0</v>
      </c>
      <c r="F129" s="120">
        <v>15</v>
      </c>
      <c r="G129" s="120" t="s">
        <v>584</v>
      </c>
      <c r="H129" s="128"/>
      <c r="I129" s="131">
        <v>10</v>
      </c>
      <c r="J129" s="122">
        <f>E129*1.1*(38-12)*4180/3600/1000*I129*F129*7*(52-$D$13)</f>
        <v>0</v>
      </c>
      <c r="K129" s="123">
        <f>J129*'Bases calculs conso habitat '!$B$7</f>
        <v>0</v>
      </c>
      <c r="L129" s="124">
        <f>J129*'Bases calculs conso habitat '!$B$5</f>
        <v>0</v>
      </c>
      <c r="M129" s="129" t="s">
        <v>750</v>
      </c>
      <c r="N129" s="124" t="s">
        <v>750</v>
      </c>
      <c r="O129" s="125">
        <f>E129*F129*I129*7*(52-$D$13)/1000</f>
        <v>0</v>
      </c>
      <c r="P129" s="126">
        <f>O129*'Bases calculs conso habitat '!$B13</f>
        <v>0</v>
      </c>
      <c r="Q129" s="92">
        <f>IF(U126=FALSE,E129*F129*I129*7*(52-$D$13)/1000,0)</f>
        <v>0</v>
      </c>
      <c r="R129" s="93">
        <f>Q129*'Bases calculs conso habitat '!$B13</f>
        <v>0</v>
      </c>
      <c r="S129" s="90">
        <f>IF($D$15="oui",IF(U126=FALSE,J129,0),0)</f>
        <v>0</v>
      </c>
      <c r="T129" s="91">
        <f>IF($D$15="oui",IF(U126=FALSE,IF($D$5="Simple tarif",K129,L129),0),0)</f>
        <v>0</v>
      </c>
      <c r="U129" s="132"/>
      <c r="V129" s="101"/>
      <c r="W129" s="101" t="s">
        <v>585</v>
      </c>
    </row>
    <row r="130" spans="2:23" ht="18.75" customHeight="1">
      <c r="B130" s="508"/>
      <c r="C130" s="514"/>
      <c r="D130" s="167" t="s">
        <v>586</v>
      </c>
      <c r="E130" s="166"/>
      <c r="F130" s="120"/>
      <c r="G130" s="120"/>
      <c r="H130" s="128"/>
      <c r="I130" s="131">
        <v>6</v>
      </c>
      <c r="J130" s="122">
        <f>E129*1.1*(38-12)*4180/3600/1000*I130*F129*7*(52-$D$13)</f>
        <v>0</v>
      </c>
      <c r="K130" s="123">
        <f>J130*'Bases calculs conso habitat '!$B$7</f>
        <v>0</v>
      </c>
      <c r="L130" s="124">
        <f>J130*'Bases calculs conso habitat '!$B$5</f>
        <v>0</v>
      </c>
      <c r="M130" s="129" t="s">
        <v>750</v>
      </c>
      <c r="N130" s="124" t="s">
        <v>750</v>
      </c>
      <c r="O130" s="125">
        <f>E130*F130*I130*7*(52-$D$13)/1000</f>
        <v>0</v>
      </c>
      <c r="P130" s="126">
        <f>O130*'Bases calculs conso habitat '!$B13</f>
        <v>0</v>
      </c>
      <c r="Q130" s="92">
        <f>IF(U126=TRUE,E129*F129*I130*7*(52-$D$13)/1000,0)</f>
        <v>0</v>
      </c>
      <c r="R130" s="93">
        <f>Q130*'Bases calculs conso habitat '!$B13</f>
        <v>0</v>
      </c>
      <c r="S130" s="90">
        <f>IF($D$15="oui",IF(U126=TRUE,J130,0),0)</f>
        <v>0</v>
      </c>
      <c r="T130" s="91">
        <f>IF($D$15="oui",IF(U126=TRUE,IF($D$5="Simple tarif",K130,L130),0),0)</f>
        <v>0</v>
      </c>
      <c r="U130" s="132"/>
      <c r="V130" s="101"/>
      <c r="W130" s="101" t="s">
        <v>585</v>
      </c>
    </row>
    <row r="131" spans="2:23" ht="18.75" customHeight="1">
      <c r="B131" s="508"/>
      <c r="C131" s="144" t="s">
        <v>589</v>
      </c>
      <c r="D131" s="118"/>
      <c r="E131" s="166"/>
      <c r="F131" s="120">
        <v>60</v>
      </c>
      <c r="G131" s="120" t="s">
        <v>590</v>
      </c>
      <c r="H131" s="128"/>
      <c r="I131" s="128"/>
      <c r="J131" s="122">
        <f>E131*1.1*(38-12)*4180/3600/1000*F131*7*(52-$D$13)</f>
        <v>0</v>
      </c>
      <c r="K131" s="123">
        <f>J131*'Bases calculs conso habitat '!$B$7</f>
        <v>0</v>
      </c>
      <c r="L131" s="124">
        <f>J131*'Bases calculs conso habitat '!$B$5</f>
        <v>0</v>
      </c>
      <c r="M131" s="129" t="s">
        <v>750</v>
      </c>
      <c r="N131" s="124" t="s">
        <v>750</v>
      </c>
      <c r="O131" s="125">
        <f>E131*F131*7*(52-$D$13)/1000</f>
        <v>0</v>
      </c>
      <c r="P131" s="126">
        <f>O131*'Bases calculs conso habitat '!$B13</f>
        <v>0</v>
      </c>
      <c r="Q131" s="92">
        <f>E131*F131*7*(52-$D$13)/1000</f>
        <v>0</v>
      </c>
      <c r="R131" s="93">
        <f>Q131*'Bases calculs conso habitat '!$B13</f>
        <v>0</v>
      </c>
      <c r="S131" s="90">
        <f>IF($D$15="oui",J131,0)</f>
        <v>0</v>
      </c>
      <c r="T131" s="91">
        <f>IF($D$15="oui",IF($D$5="Simple tarif",K131,L131),0)</f>
        <v>0</v>
      </c>
      <c r="U131" s="132"/>
      <c r="V131" s="101"/>
      <c r="W131" s="101" t="s">
        <v>585</v>
      </c>
    </row>
    <row r="132" spans="2:23" ht="18.75" customHeight="1">
      <c r="B132" s="508"/>
      <c r="C132" s="514" t="s">
        <v>591</v>
      </c>
      <c r="D132" s="118"/>
      <c r="E132" s="166"/>
      <c r="F132" s="120">
        <v>3</v>
      </c>
      <c r="G132" s="120" t="s">
        <v>592</v>
      </c>
      <c r="H132" s="128"/>
      <c r="I132" s="121">
        <v>8</v>
      </c>
      <c r="J132" s="122"/>
      <c r="K132" s="123"/>
      <c r="L132" s="124"/>
      <c r="M132" s="129"/>
      <c r="N132" s="124"/>
      <c r="O132" s="125">
        <f>F132*I132*($H$5+$H$7+$H$9)*7*(52-$D$13)/1000</f>
        <v>32.928</v>
      </c>
      <c r="P132" s="126">
        <f>O132*'Bases calculs conso habitat '!$B13</f>
        <v>108.03146659199999</v>
      </c>
      <c r="Q132" s="92">
        <f>IF(U133=FALSE,F132*I132*($H$5+$H$7+$H$9)*7*(52-$D$13)/1000,0)</f>
        <v>32.928</v>
      </c>
      <c r="R132" s="93">
        <f>Q132*'Bases calculs conso habitat '!$B13</f>
        <v>108.03146659199999</v>
      </c>
      <c r="S132" s="90"/>
      <c r="T132" s="91"/>
      <c r="U132" s="132"/>
      <c r="V132" s="101"/>
      <c r="W132" s="101" t="s">
        <v>585</v>
      </c>
    </row>
    <row r="133" spans="2:23" ht="18.75" customHeight="1">
      <c r="B133" s="508"/>
      <c r="C133" s="514"/>
      <c r="D133" s="167" t="s">
        <v>593</v>
      </c>
      <c r="E133" s="30"/>
      <c r="F133" s="120"/>
      <c r="G133" s="120"/>
      <c r="H133" s="128"/>
      <c r="I133" s="121">
        <v>4</v>
      </c>
      <c r="J133" s="122"/>
      <c r="K133" s="123"/>
      <c r="L133" s="124"/>
      <c r="M133" s="129"/>
      <c r="N133" s="124"/>
      <c r="O133" s="125">
        <f>F132*I133*($H$5+$H$7+$H$9)*7*(52-$D$13)/1000</f>
        <v>16.464</v>
      </c>
      <c r="P133" s="126">
        <f>O133*'Bases calculs conso habitat '!$B13</f>
        <v>54.01573329599999</v>
      </c>
      <c r="Q133" s="92">
        <f>IF(U133=TRUE,F132*I133*($H$5+$H$7+$H$9)*7*(52-$D$13)/1000,0)</f>
        <v>0</v>
      </c>
      <c r="R133" s="93">
        <f>Q133*'Bases calculs conso habitat '!$B13</f>
        <v>0</v>
      </c>
      <c r="S133" s="90"/>
      <c r="T133" s="91"/>
      <c r="U133" s="127" t="b">
        <f>FALSE</f>
        <v>0</v>
      </c>
      <c r="V133" s="101"/>
      <c r="W133" s="101" t="s">
        <v>585</v>
      </c>
    </row>
    <row r="134" spans="2:23" ht="18.75" customHeight="1">
      <c r="B134" s="508"/>
      <c r="C134" s="147" t="s">
        <v>712</v>
      </c>
      <c r="D134" s="118"/>
      <c r="E134" s="166"/>
      <c r="F134" s="120">
        <v>15</v>
      </c>
      <c r="G134" s="120" t="s">
        <v>594</v>
      </c>
      <c r="H134" s="128"/>
      <c r="I134" s="128"/>
      <c r="J134" s="122">
        <f>1.1*(40-12)*4180/3600/1000*F134*(52-$D$13)</f>
        <v>26.285233333333338</v>
      </c>
      <c r="K134" s="123">
        <f>J134*'Bases calculs conso habitat '!$B$7</f>
        <v>3.104286056666667</v>
      </c>
      <c r="L134" s="124">
        <f>J134*'Bases calculs conso habitat '!$B$5</f>
        <v>2.3525283833333335</v>
      </c>
      <c r="M134" s="129" t="s">
        <v>750</v>
      </c>
      <c r="N134" s="124" t="s">
        <v>750</v>
      </c>
      <c r="O134" s="125">
        <f>F134*(52-$D$13)/1000</f>
        <v>0.735</v>
      </c>
      <c r="P134" s="126">
        <f>O134*'Bases calculs conso habitat '!$B13</f>
        <v>2.411416665</v>
      </c>
      <c r="Q134" s="92">
        <f>F134*(52-$D$13)/1000</f>
        <v>0.735</v>
      </c>
      <c r="R134" s="93">
        <f>Q134*'Bases calculs conso habitat '!$B13</f>
        <v>2.411416665</v>
      </c>
      <c r="S134" s="90">
        <f>IF($D$15="oui",J134,0)</f>
        <v>0</v>
      </c>
      <c r="T134" s="91">
        <f>IF($D$15="oui",IF($D$5="Simple tarif",K134,L134),0)</f>
        <v>0</v>
      </c>
      <c r="U134" s="132"/>
      <c r="V134" s="101"/>
      <c r="W134" s="101" t="s">
        <v>585</v>
      </c>
    </row>
    <row r="135" spans="2:23" ht="18.75" customHeight="1">
      <c r="B135" s="508"/>
      <c r="C135" s="147" t="s">
        <v>595</v>
      </c>
      <c r="D135" s="118"/>
      <c r="E135" s="166"/>
      <c r="F135" s="120">
        <v>15</v>
      </c>
      <c r="G135" s="120" t="s">
        <v>590</v>
      </c>
      <c r="H135" s="128"/>
      <c r="I135" s="128"/>
      <c r="J135" s="122"/>
      <c r="K135" s="123"/>
      <c r="L135" s="124"/>
      <c r="M135" s="129"/>
      <c r="N135" s="124"/>
      <c r="O135" s="125">
        <f>F135*7*(52-$D$13)/1000</f>
        <v>5.145</v>
      </c>
      <c r="P135" s="126">
        <f>O135*'Bases calculs conso habitat '!$B13</f>
        <v>16.879916655</v>
      </c>
      <c r="Q135" s="92">
        <f>F135*7*(52-$D$13)/1000</f>
        <v>5.145</v>
      </c>
      <c r="R135" s="93">
        <f>Q135*'Bases calculs conso habitat '!$B13</f>
        <v>16.879916655</v>
      </c>
      <c r="S135" s="90"/>
      <c r="T135" s="91"/>
      <c r="U135" s="132"/>
      <c r="V135" s="101"/>
      <c r="W135" s="101" t="s">
        <v>585</v>
      </c>
    </row>
    <row r="136" spans="2:23" ht="18.75" customHeight="1">
      <c r="B136" s="508"/>
      <c r="C136" s="147" t="s">
        <v>468</v>
      </c>
      <c r="D136" s="118" t="s">
        <v>469</v>
      </c>
      <c r="E136" s="30"/>
      <c r="F136" s="120">
        <v>50</v>
      </c>
      <c r="G136" s="120" t="s">
        <v>590</v>
      </c>
      <c r="H136" s="128"/>
      <c r="I136" s="128"/>
      <c r="J136" s="122">
        <f>1.1*(40-12)*4180/3600/1000*F136*7*(52-$D$13)</f>
        <v>613.3221111111112</v>
      </c>
      <c r="K136" s="123">
        <f>J136*'Bases calculs conso habitat '!$B$7</f>
        <v>72.43334132222223</v>
      </c>
      <c r="L136" s="124">
        <f>J136*'Bases calculs conso habitat '!$B$5</f>
        <v>54.89232894444445</v>
      </c>
      <c r="M136" s="129" t="s">
        <v>750</v>
      </c>
      <c r="N136" s="124" t="s">
        <v>750</v>
      </c>
      <c r="O136" s="125">
        <f>F136*7*(52-$D$13)/1000</f>
        <v>17.15</v>
      </c>
      <c r="P136" s="126">
        <f>O136*'Bases calculs conso habitat '!$B13</f>
        <v>56.26638884999999</v>
      </c>
      <c r="Q136" s="92">
        <f>IF(U136=TRUE,F136*7*(52-$D$13)/1000,0)</f>
        <v>0</v>
      </c>
      <c r="R136" s="93">
        <f>Q136*'Bases calculs conso habitat '!$B13</f>
        <v>0</v>
      </c>
      <c r="S136" s="90">
        <f>IF($D$15="oui",IF(U136=TRUE,J136,0),0)</f>
        <v>0</v>
      </c>
      <c r="T136" s="91">
        <f>IF($D$15="oui",IF(U136=TRUE,IF($D$5="Simple tarif",K136,L136),0),0)</f>
        <v>0</v>
      </c>
      <c r="U136" s="127" t="b">
        <f>FALSE</f>
        <v>0</v>
      </c>
      <c r="V136" s="101"/>
      <c r="W136" s="101" t="s">
        <v>470</v>
      </c>
    </row>
    <row r="137" spans="2:23" ht="18.75" customHeight="1">
      <c r="B137" s="508"/>
      <c r="C137" s="147"/>
      <c r="D137" s="118" t="s">
        <v>471</v>
      </c>
      <c r="E137" s="30"/>
      <c r="F137" s="120">
        <v>15</v>
      </c>
      <c r="G137" s="120" t="s">
        <v>590</v>
      </c>
      <c r="H137" s="128"/>
      <c r="I137" s="128"/>
      <c r="J137" s="122">
        <f>1.1*(40-12)*4180/3600/1000*F137*7*(52-$D$13)</f>
        <v>183.99663333333336</v>
      </c>
      <c r="K137" s="123">
        <f>J137*'Bases calculs conso habitat '!$B$7</f>
        <v>21.73000239666667</v>
      </c>
      <c r="L137" s="124">
        <f>J137*'Bases calculs conso habitat '!$B$5</f>
        <v>16.467698683333335</v>
      </c>
      <c r="M137" s="129" t="s">
        <v>750</v>
      </c>
      <c r="N137" s="124" t="s">
        <v>750</v>
      </c>
      <c r="O137" s="125">
        <f>F137*7*(52-$D$13)/1000</f>
        <v>5.145</v>
      </c>
      <c r="P137" s="126">
        <f>O137*'Bases calculs conso habitat '!$B13</f>
        <v>16.879916655</v>
      </c>
      <c r="Q137" s="92">
        <f>IF(U137=TRUE,F137*7*(52-$D$13)/1000,0)</f>
        <v>0</v>
      </c>
      <c r="R137" s="93">
        <f>Q137*'Bases calculs conso habitat '!$B14</f>
        <v>0</v>
      </c>
      <c r="S137" s="90">
        <f>IF($D$15="oui",IF(U137=TRUE,J137,0),0)</f>
        <v>0</v>
      </c>
      <c r="T137" s="91">
        <f>IF($D$15="oui",IF(U137=TRUE,IF($D$5="Simple tarif",K137,L137),0),0)</f>
        <v>0</v>
      </c>
      <c r="U137" s="127" t="b">
        <f>FALSE</f>
        <v>0</v>
      </c>
      <c r="V137" s="101"/>
      <c r="W137" s="101" t="s">
        <v>472</v>
      </c>
    </row>
    <row r="138" spans="2:23" ht="18.75" customHeight="1">
      <c r="B138" s="508"/>
      <c r="C138" s="147"/>
      <c r="D138" s="118" t="s">
        <v>473</v>
      </c>
      <c r="E138" s="30"/>
      <c r="F138" s="120">
        <v>5</v>
      </c>
      <c r="G138" s="120" t="s">
        <v>590</v>
      </c>
      <c r="H138" s="128"/>
      <c r="I138" s="128"/>
      <c r="J138" s="122">
        <f>1.1*(40-12)*4180/3600/1000*F138*7*(52-$D$13)</f>
        <v>61.33221111111113</v>
      </c>
      <c r="K138" s="123">
        <f>J138*'Bases calculs conso habitat '!$B$7</f>
        <v>7.243334132222224</v>
      </c>
      <c r="L138" s="124">
        <f>J138*'Bases calculs conso habitat '!$B$5</f>
        <v>5.489232894444446</v>
      </c>
      <c r="M138" s="129" t="s">
        <v>750</v>
      </c>
      <c r="N138" s="124" t="s">
        <v>750</v>
      </c>
      <c r="O138" s="125">
        <f>F138*7*(52-$D$13)/1000</f>
        <v>1.715</v>
      </c>
      <c r="P138" s="126">
        <f>O138*'Bases calculs conso habitat '!$B13</f>
        <v>5.626638885</v>
      </c>
      <c r="Q138" s="92">
        <f>IF(U138=TRUE,F138*7*(52-$D$13)/1000,0)</f>
        <v>1.715</v>
      </c>
      <c r="R138" s="93">
        <f>Q138*'Bases calculs conso habitat '!$B15</f>
        <v>0</v>
      </c>
      <c r="S138" s="90">
        <f>IF($D$15="oui",IF(U138=TRUE,J138,0),0)</f>
        <v>0</v>
      </c>
      <c r="T138" s="91">
        <f>IF($D$15="oui",IF(U138=TRUE,IF($D$5="Simple tarif",K138,L138),0),0)</f>
        <v>0</v>
      </c>
      <c r="U138" s="127" t="b">
        <f>TRUE</f>
        <v>1</v>
      </c>
      <c r="V138" s="101"/>
      <c r="W138" s="101" t="s">
        <v>585</v>
      </c>
    </row>
    <row r="139" spans="2:23" ht="18.75" customHeight="1">
      <c r="B139" s="508"/>
      <c r="C139" s="147" t="s">
        <v>714</v>
      </c>
      <c r="D139" s="118"/>
      <c r="E139" s="154"/>
      <c r="F139" s="120">
        <v>12</v>
      </c>
      <c r="G139" s="120" t="s">
        <v>590</v>
      </c>
      <c r="H139" s="128"/>
      <c r="I139" s="128"/>
      <c r="J139" s="122"/>
      <c r="K139" s="123"/>
      <c r="L139" s="124"/>
      <c r="M139" s="129"/>
      <c r="N139" s="124"/>
      <c r="O139" s="125">
        <f>F139*7*(52-$D$13)/1000</f>
        <v>4.116</v>
      </c>
      <c r="P139" s="126">
        <f>O139*'Bases calculs conso habitat '!$B13</f>
        <v>13.503933323999998</v>
      </c>
      <c r="Q139" s="92">
        <f>F139*7*(52-$D$13)/1000</f>
        <v>4.116</v>
      </c>
      <c r="R139" s="93">
        <f>Q139*'Bases calculs conso habitat '!$B13</f>
        <v>13.503933323999998</v>
      </c>
      <c r="S139" s="90"/>
      <c r="T139" s="91"/>
      <c r="U139" s="132"/>
      <c r="V139" s="101"/>
      <c r="W139" s="101" t="s">
        <v>585</v>
      </c>
    </row>
    <row r="140" spans="2:23" ht="18.75" customHeight="1">
      <c r="B140" s="508" t="s">
        <v>474</v>
      </c>
      <c r="C140" s="514" t="s">
        <v>475</v>
      </c>
      <c r="D140" s="118" t="s">
        <v>476</v>
      </c>
      <c r="E140" s="30"/>
      <c r="F140" s="120"/>
      <c r="G140" s="120"/>
      <c r="H140" s="131">
        <v>35</v>
      </c>
      <c r="I140" s="128"/>
      <c r="J140" s="122">
        <f>H140*24*365/1000</f>
        <v>306.6</v>
      </c>
      <c r="K140" s="123">
        <f>J140*'Bases calculs conso habitat '!$B$7</f>
        <v>36.20946</v>
      </c>
      <c r="L140" s="124" t="s">
        <v>750</v>
      </c>
      <c r="M140" s="124" t="s">
        <v>750</v>
      </c>
      <c r="N140" s="124">
        <f>J140*3/10*'Bases calculs conso habitat '!$B$5+J140*7/10*'Bases calculs conso habitat '!$B$6</f>
        <v>36.39035400000001</v>
      </c>
      <c r="O140" s="129"/>
      <c r="P140" s="126"/>
      <c r="Q140" s="130"/>
      <c r="R140" s="130"/>
      <c r="S140" s="90">
        <f aca="true" t="shared" si="15" ref="S140:S145">IF(U140=FALSE,0,J140)</f>
        <v>306.6</v>
      </c>
      <c r="T140" s="91">
        <f aca="true" t="shared" si="16" ref="T140:T145">IF(U140=FALSE,0,IF($D$5="Simple tarif",K140,N140))</f>
        <v>36.39035400000001</v>
      </c>
      <c r="U140" s="127" t="b">
        <f>TRUE</f>
        <v>1</v>
      </c>
      <c r="V140" s="101"/>
      <c r="W140" s="101" t="s">
        <v>477</v>
      </c>
    </row>
    <row r="141" spans="2:23" ht="18.75" customHeight="1">
      <c r="B141" s="508"/>
      <c r="C141" s="514"/>
      <c r="D141" s="118" t="s">
        <v>478</v>
      </c>
      <c r="E141" s="30"/>
      <c r="F141" s="120"/>
      <c r="G141" s="120"/>
      <c r="H141" s="131">
        <v>35</v>
      </c>
      <c r="I141" s="128"/>
      <c r="J141" s="122">
        <f>H141*24*365*0.7/1000</f>
        <v>214.62</v>
      </c>
      <c r="K141" s="123">
        <f>J141*'Bases calculs conso habitat '!$B$7</f>
        <v>25.346622</v>
      </c>
      <c r="L141" s="124" t="s">
        <v>750</v>
      </c>
      <c r="M141" s="124" t="s">
        <v>750</v>
      </c>
      <c r="N141" s="124">
        <f>J141*3/10*'Bases calculs conso habitat '!$B$5+J141*7/10*'Bases calculs conso habitat '!$B$6</f>
        <v>25.473247800000003</v>
      </c>
      <c r="O141" s="129"/>
      <c r="P141" s="126"/>
      <c r="Q141" s="130"/>
      <c r="R141" s="130"/>
      <c r="S141" s="90">
        <f t="shared" si="15"/>
        <v>0</v>
      </c>
      <c r="T141" s="91">
        <f t="shared" si="16"/>
        <v>0</v>
      </c>
      <c r="U141" s="127" t="b">
        <f>FALSE</f>
        <v>0</v>
      </c>
      <c r="V141" s="101"/>
      <c r="W141" s="101" t="s">
        <v>479</v>
      </c>
    </row>
    <row r="142" spans="2:23" ht="18.75" customHeight="1">
      <c r="B142" s="508"/>
      <c r="C142" s="514"/>
      <c r="D142" s="118" t="s">
        <v>480</v>
      </c>
      <c r="E142" s="30"/>
      <c r="F142" s="120"/>
      <c r="G142" s="120"/>
      <c r="H142" s="131">
        <v>12</v>
      </c>
      <c r="I142" s="128"/>
      <c r="J142" s="122">
        <f>H142*24*365/1000</f>
        <v>105.12</v>
      </c>
      <c r="K142" s="123">
        <f>J142*'Bases calculs conso habitat '!$B$7</f>
        <v>12.414672</v>
      </c>
      <c r="L142" s="124" t="s">
        <v>750</v>
      </c>
      <c r="M142" s="124" t="s">
        <v>750</v>
      </c>
      <c r="N142" s="124">
        <f>J142*3/10*'Bases calculs conso habitat '!$B$5+J142*7/10*'Bases calculs conso habitat '!$B$6</f>
        <v>12.4766928</v>
      </c>
      <c r="O142" s="129"/>
      <c r="P142" s="126"/>
      <c r="Q142" s="130"/>
      <c r="R142" s="130"/>
      <c r="S142" s="90">
        <f t="shared" si="15"/>
        <v>0</v>
      </c>
      <c r="T142" s="91">
        <f t="shared" si="16"/>
        <v>0</v>
      </c>
      <c r="U142" s="127" t="b">
        <f>FALSE</f>
        <v>0</v>
      </c>
      <c r="V142" s="101"/>
      <c r="W142" s="101" t="s">
        <v>481</v>
      </c>
    </row>
    <row r="143" spans="2:23" ht="18.75" customHeight="1">
      <c r="B143" s="508"/>
      <c r="C143" s="514" t="s">
        <v>482</v>
      </c>
      <c r="D143" s="118" t="s">
        <v>483</v>
      </c>
      <c r="E143" s="30"/>
      <c r="F143" s="120"/>
      <c r="G143" s="120"/>
      <c r="H143" s="131">
        <v>55</v>
      </c>
      <c r="I143" s="128"/>
      <c r="J143" s="122">
        <f>H143*24*180/1000</f>
        <v>237.6</v>
      </c>
      <c r="K143" s="123">
        <f>J143*'Bases calculs conso habitat '!$B$7</f>
        <v>28.06056</v>
      </c>
      <c r="L143" s="124" t="s">
        <v>750</v>
      </c>
      <c r="M143" s="124" t="s">
        <v>750</v>
      </c>
      <c r="N143" s="124">
        <f>J143*3/10*'Bases calculs conso habitat '!$B$5+J143*7/10*'Bases calculs conso habitat '!$B$6</f>
        <v>28.200744</v>
      </c>
      <c r="O143" s="129"/>
      <c r="P143" s="126"/>
      <c r="Q143" s="130"/>
      <c r="R143" s="130"/>
      <c r="S143" s="90">
        <f t="shared" si="15"/>
        <v>0</v>
      </c>
      <c r="T143" s="91">
        <f t="shared" si="16"/>
        <v>0</v>
      </c>
      <c r="U143" s="127" t="b">
        <f>FALSE</f>
        <v>0</v>
      </c>
      <c r="V143" s="101"/>
      <c r="W143" s="101" t="s">
        <v>484</v>
      </c>
    </row>
    <row r="144" spans="2:23" ht="18.75" customHeight="1">
      <c r="B144" s="508"/>
      <c r="C144" s="514"/>
      <c r="D144" s="118" t="s">
        <v>485</v>
      </c>
      <c r="E144" s="30"/>
      <c r="F144" s="120">
        <v>15</v>
      </c>
      <c r="G144" s="120" t="s">
        <v>486</v>
      </c>
      <c r="H144" s="131">
        <v>55</v>
      </c>
      <c r="I144" s="128"/>
      <c r="J144" s="122">
        <f>H144*24*180*F144/100/1000</f>
        <v>35.64</v>
      </c>
      <c r="K144" s="123">
        <f>J144*'Bases calculs conso habitat '!$B$7</f>
        <v>4.209084</v>
      </c>
      <c r="L144" s="124" t="s">
        <v>750</v>
      </c>
      <c r="M144" s="124" t="s">
        <v>750</v>
      </c>
      <c r="N144" s="124">
        <f>J144*3/10*'Bases calculs conso habitat '!$B$5+J144*7/10*'Bases calculs conso habitat '!$B$6</f>
        <v>4.230111600000001</v>
      </c>
      <c r="O144" s="129"/>
      <c r="P144" s="126"/>
      <c r="Q144" s="130"/>
      <c r="R144" s="130"/>
      <c r="S144" s="90">
        <f t="shared" si="15"/>
        <v>35.64</v>
      </c>
      <c r="T144" s="91">
        <f t="shared" si="16"/>
        <v>4.230111600000001</v>
      </c>
      <c r="U144" s="127" t="b">
        <f>TRUE</f>
        <v>1</v>
      </c>
      <c r="V144" s="101"/>
      <c r="W144" s="101" t="s">
        <v>484</v>
      </c>
    </row>
    <row r="145" spans="2:23" ht="18.75" customHeight="1">
      <c r="B145" s="508"/>
      <c r="C145" s="514"/>
      <c r="D145" s="118" t="s">
        <v>487</v>
      </c>
      <c r="E145" s="30"/>
      <c r="F145" s="120">
        <v>15</v>
      </c>
      <c r="G145" s="120" t="s">
        <v>486</v>
      </c>
      <c r="H145" s="131">
        <v>15</v>
      </c>
      <c r="I145" s="128"/>
      <c r="J145" s="122">
        <f>H145*24*180*F145/100/1000</f>
        <v>9.72</v>
      </c>
      <c r="K145" s="169">
        <f>J145*'Bases calculs conso habitat '!$B$7</f>
        <v>1.147932</v>
      </c>
      <c r="L145" s="170" t="s">
        <v>750</v>
      </c>
      <c r="M145" s="170" t="s">
        <v>750</v>
      </c>
      <c r="N145" s="170">
        <f>J145*3/10*'Bases calculs conso habitat '!$B$5+J145*7/10*'Bases calculs conso habitat '!$B$6</f>
        <v>1.1536668</v>
      </c>
      <c r="O145" s="171"/>
      <c r="P145" s="172"/>
      <c r="Q145" s="130"/>
      <c r="R145" s="130"/>
      <c r="S145" s="90">
        <f t="shared" si="15"/>
        <v>0</v>
      </c>
      <c r="T145" s="91">
        <f t="shared" si="16"/>
        <v>0</v>
      </c>
      <c r="U145" s="127" t="b">
        <f>FALSE</f>
        <v>0</v>
      </c>
      <c r="V145" s="101"/>
      <c r="W145" s="101" t="s">
        <v>488</v>
      </c>
    </row>
    <row r="146" spans="4:23" ht="15">
      <c r="D146" s="173"/>
      <c r="J146" s="174"/>
      <c r="K146" s="175"/>
      <c r="U146" s="116"/>
      <c r="V146" s="117"/>
      <c r="W146" s="117"/>
    </row>
    <row r="147" spans="4:18" ht="15">
      <c r="D147" s="173"/>
      <c r="J147" s="174"/>
      <c r="K147" s="175"/>
      <c r="P147" s="176"/>
      <c r="R147" s="175"/>
    </row>
    <row r="148" spans="10:11" ht="15">
      <c r="J148" s="174"/>
      <c r="K148" s="174"/>
    </row>
    <row r="149" spans="10:11" ht="15">
      <c r="J149" s="174"/>
      <c r="K149" s="174"/>
    </row>
    <row r="150" spans="10:11" ht="15">
      <c r="J150" s="174"/>
      <c r="K150" s="174"/>
    </row>
    <row r="151" spans="10:11" ht="15">
      <c r="J151" s="174"/>
      <c r="K151" s="174"/>
    </row>
    <row r="152" spans="10:11" ht="15">
      <c r="J152" s="174"/>
      <c r="K152" s="174"/>
    </row>
    <row r="153" spans="10:11" ht="15">
      <c r="J153" s="174"/>
      <c r="K153" s="174"/>
    </row>
    <row r="154" spans="10:11" ht="15">
      <c r="J154" s="174"/>
      <c r="K154" s="174"/>
    </row>
  </sheetData>
  <sheetProtection selectLockedCells="1" selectUnlockedCells="1"/>
  <mergeCells count="66">
    <mergeCell ref="B140:B145"/>
    <mergeCell ref="C140:C142"/>
    <mergeCell ref="C143:C145"/>
    <mergeCell ref="B115:B124"/>
    <mergeCell ref="C115:C116"/>
    <mergeCell ref="B125:B139"/>
    <mergeCell ref="C125:C126"/>
    <mergeCell ref="C127:C128"/>
    <mergeCell ref="C129:C130"/>
    <mergeCell ref="C132:C133"/>
    <mergeCell ref="B98:B114"/>
    <mergeCell ref="C98:C99"/>
    <mergeCell ref="C100:C101"/>
    <mergeCell ref="C102:C104"/>
    <mergeCell ref="C105:C106"/>
    <mergeCell ref="C108:C110"/>
    <mergeCell ref="C111:C112"/>
    <mergeCell ref="B69:B76"/>
    <mergeCell ref="B77:B97"/>
    <mergeCell ref="C77:C87"/>
    <mergeCell ref="C88:C89"/>
    <mergeCell ref="C90:C91"/>
    <mergeCell ref="C92:C93"/>
    <mergeCell ref="C94:C95"/>
    <mergeCell ref="C96:C97"/>
    <mergeCell ref="B55:B62"/>
    <mergeCell ref="C55:C56"/>
    <mergeCell ref="C60:C62"/>
    <mergeCell ref="B63:B68"/>
    <mergeCell ref="B45:B54"/>
    <mergeCell ref="C45:C47"/>
    <mergeCell ref="C48:C50"/>
    <mergeCell ref="C51:C54"/>
    <mergeCell ref="F35:G35"/>
    <mergeCell ref="B36:B44"/>
    <mergeCell ref="C36:C38"/>
    <mergeCell ref="C39:C41"/>
    <mergeCell ref="C42:C44"/>
    <mergeCell ref="K34:N34"/>
    <mergeCell ref="O34:P34"/>
    <mergeCell ref="Q34:R34"/>
    <mergeCell ref="S34:T34"/>
    <mergeCell ref="H21:H27"/>
    <mergeCell ref="E22:F22"/>
    <mergeCell ref="E23:F23"/>
    <mergeCell ref="E24:F24"/>
    <mergeCell ref="E25:F25"/>
    <mergeCell ref="E26:F26"/>
    <mergeCell ref="E27:F27"/>
    <mergeCell ref="B13:C13"/>
    <mergeCell ref="B15:C15"/>
    <mergeCell ref="E20:F20"/>
    <mergeCell ref="C21:C31"/>
    <mergeCell ref="E21:F21"/>
    <mergeCell ref="E28:F28"/>
    <mergeCell ref="E29:F29"/>
    <mergeCell ref="E30:F30"/>
    <mergeCell ref="E31:F31"/>
    <mergeCell ref="B9:C9"/>
    <mergeCell ref="F9:G9"/>
    <mergeCell ref="B11:C11"/>
    <mergeCell ref="F11:G11"/>
    <mergeCell ref="B5:C5"/>
    <mergeCell ref="F5:G5"/>
    <mergeCell ref="B7:C7"/>
    <mergeCell ref="F7:G7"/>
  </mergeCells>
  <dataValidations count="4">
    <dataValidation type="list" allowBlank="1" showErrorMessage="1" sqref="D7:D8 K31:K33">
      <formula1>'Consommation appareils'!$Y$17:$Y$19</formula1>
      <formula2>0</formula2>
    </dataValidation>
    <dataValidation type="list" allowBlank="1" showErrorMessage="1" sqref="D5:D6 C7:C12 J31:J33">
      <formula1>'Consommation appareils'!$X$17:$X$18</formula1>
      <formula2>0</formula2>
    </dataValidation>
    <dataValidation type="list" allowBlank="1" showErrorMessage="1" sqref="E69:E76">
      <formula1>'Consommation appareils'!$Z$17:$Z$25</formula1>
      <formula2>0</formula2>
    </dataValidation>
    <dataValidation type="list" allowBlank="1" showErrorMessage="1" sqref="D9:D12 D15">
      <formula1>'Consommation appareils'!$AA$17:$AA$18</formula1>
      <formula2>0</formula2>
    </dataValidation>
  </dataValidations>
  <printOptions/>
  <pageMargins left="0.31527777777777777" right="0.31527777777777777" top="0.3541666666666667" bottom="0.3541666666666667" header="0.5118055555555555" footer="0.5118055555555555"/>
  <pageSetup fitToHeight="1" fitToWidth="1" horizontalDpi="300" verticalDpi="300"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Feuil5"/>
  <dimension ref="A4:J33"/>
  <sheetViews>
    <sheetView showGridLines="0" workbookViewId="0" topLeftCell="A1">
      <selection activeCell="F33" sqref="F33"/>
    </sheetView>
  </sheetViews>
  <sheetFormatPr defaultColWidth="11.421875" defaultRowHeight="15"/>
  <cols>
    <col min="1" max="1" width="43.8515625" style="0" customWidth="1"/>
    <col min="2" max="2" width="18.8515625" style="0" customWidth="1"/>
    <col min="3" max="3" width="22.421875" style="0" customWidth="1"/>
    <col min="4" max="4" width="12.140625" style="0" customWidth="1"/>
    <col min="5" max="5" width="11.421875" style="0" customWidth="1"/>
    <col min="6" max="6" width="37.421875" style="177" customWidth="1"/>
    <col min="7" max="7" width="11.421875" style="177" customWidth="1"/>
    <col min="8" max="10" width="0" style="0" hidden="1" customWidth="1"/>
    <col min="11" max="11" width="11.421875" style="0" customWidth="1"/>
  </cols>
  <sheetData>
    <row r="4" spans="1:2" ht="21">
      <c r="A4" s="518" t="s">
        <v>489</v>
      </c>
      <c r="B4" s="518"/>
    </row>
    <row r="6" spans="1:10" ht="15">
      <c r="A6" s="15" t="s">
        <v>490</v>
      </c>
      <c r="B6" s="178" t="s">
        <v>491</v>
      </c>
      <c r="D6" s="179" t="s">
        <v>492</v>
      </c>
      <c r="E6" s="15"/>
      <c r="F6" s="180" t="s">
        <v>493</v>
      </c>
      <c r="G6" s="180"/>
      <c r="H6" s="181" t="s">
        <v>491</v>
      </c>
      <c r="J6" t="s">
        <v>494</v>
      </c>
    </row>
    <row r="7" spans="1:10" ht="15">
      <c r="A7" s="15" t="s">
        <v>495</v>
      </c>
      <c r="B7" s="182"/>
      <c r="D7" s="183" t="s">
        <v>491</v>
      </c>
      <c r="E7" s="183">
        <v>1.42</v>
      </c>
      <c r="F7" s="177" t="s">
        <v>496</v>
      </c>
      <c r="G7" s="184">
        <v>40969</v>
      </c>
      <c r="H7" s="181" t="s">
        <v>497</v>
      </c>
      <c r="J7" s="18" t="s">
        <v>498</v>
      </c>
    </row>
    <row r="8" spans="1:10" ht="15">
      <c r="A8" s="15" t="s">
        <v>499</v>
      </c>
      <c r="B8" s="182">
        <v>7</v>
      </c>
      <c r="D8" s="15" t="s">
        <v>497</v>
      </c>
      <c r="E8" s="15">
        <v>1.62</v>
      </c>
      <c r="F8" s="177" t="s">
        <v>496</v>
      </c>
      <c r="G8" s="184">
        <v>40969</v>
      </c>
      <c r="H8" s="181" t="s">
        <v>500</v>
      </c>
      <c r="J8" s="18" t="s">
        <v>501</v>
      </c>
    </row>
    <row r="9" spans="1:10" ht="15">
      <c r="A9" s="15" t="s">
        <v>502</v>
      </c>
      <c r="B9" s="185">
        <v>15000</v>
      </c>
      <c r="D9" s="186" t="s">
        <v>500</v>
      </c>
      <c r="E9" s="15">
        <v>0.87</v>
      </c>
      <c r="F9" s="177" t="s">
        <v>496</v>
      </c>
      <c r="G9" s="184">
        <v>40969</v>
      </c>
      <c r="H9" s="181" t="s">
        <v>503</v>
      </c>
      <c r="J9" s="18"/>
    </row>
    <row r="10" spans="4:10" ht="15">
      <c r="D10" s="187" t="s">
        <v>503</v>
      </c>
      <c r="E10" s="188">
        <v>0.9</v>
      </c>
      <c r="F10" s="189" t="s">
        <v>504</v>
      </c>
      <c r="H10" s="181"/>
      <c r="J10" s="190"/>
    </row>
    <row r="11" spans="1:10" ht="15">
      <c r="A11" s="15" t="s">
        <v>505</v>
      </c>
      <c r="B11" s="29">
        <f>(B8*B9)/100*(IF(B6="Diesel",E7,IF(B6="Essence",E8,(IF(B6="GPL",E9,E10)))))</f>
        <v>1491</v>
      </c>
      <c r="C11" t="s">
        <v>698</v>
      </c>
      <c r="H11" s="181"/>
      <c r="J11" s="8"/>
    </row>
    <row r="12" spans="1:10" ht="15">
      <c r="A12" s="15" t="s">
        <v>506</v>
      </c>
      <c r="B12" s="20">
        <v>400</v>
      </c>
      <c r="C12" t="s">
        <v>698</v>
      </c>
      <c r="F12" s="177" t="s">
        <v>507</v>
      </c>
      <c r="J12" s="8"/>
    </row>
    <row r="13" spans="1:10" ht="15">
      <c r="A13" s="15" t="s">
        <v>508</v>
      </c>
      <c r="B13" s="29">
        <v>1500</v>
      </c>
      <c r="C13" t="s">
        <v>698</v>
      </c>
      <c r="J13" s="8"/>
    </row>
    <row r="14" spans="1:10" ht="15">
      <c r="A14" s="15" t="s">
        <v>509</v>
      </c>
      <c r="B14" s="29">
        <f>0.03*B9</f>
        <v>450</v>
      </c>
      <c r="C14" t="s">
        <v>510</v>
      </c>
      <c r="F14" s="177" t="s">
        <v>507</v>
      </c>
      <c r="J14" s="8"/>
    </row>
    <row r="16" spans="1:3" ht="15">
      <c r="A16" s="15" t="s">
        <v>511</v>
      </c>
      <c r="B16" s="29">
        <f>SUM(B11:B15)</f>
        <v>3841</v>
      </c>
      <c r="C16" t="s">
        <v>698</v>
      </c>
    </row>
    <row r="17" spans="1:3" ht="15">
      <c r="A17" s="15" t="s">
        <v>512</v>
      </c>
      <c r="B17" s="191">
        <f>B16/B9</f>
        <v>0.25606666666666666</v>
      </c>
      <c r="C17" t="s">
        <v>698</v>
      </c>
    </row>
    <row r="33" spans="8:10" ht="15">
      <c r="H33" s="95"/>
      <c r="I33" s="95"/>
      <c r="J33" s="95"/>
    </row>
  </sheetData>
  <sheetProtection selectLockedCells="1" selectUnlockedCells="1"/>
  <mergeCells count="1">
    <mergeCell ref="A4:B4"/>
  </mergeCells>
  <dataValidations count="1">
    <dataValidation type="list" allowBlank="1" showErrorMessage="1" sqref="B6">
      <formula1>'Conso déplacement'!$H$6:$H$9</formula1>
      <formula2>0</formula2>
    </dataValidation>
  </dataValidations>
  <printOptions/>
  <pageMargins left="0.7" right="0.7" top="0.75" bottom="0.75"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codeName="Feuil7">
    <pageSetUpPr fitToPage="1"/>
  </sheetPr>
  <dimension ref="B1:S37"/>
  <sheetViews>
    <sheetView showGridLines="0" zoomScale="70" zoomScaleNormal="70" workbookViewId="0" topLeftCell="A4">
      <selection activeCell="K16" sqref="K16"/>
    </sheetView>
  </sheetViews>
  <sheetFormatPr defaultColWidth="11.421875" defaultRowHeight="15"/>
  <cols>
    <col min="1" max="2" width="5.28125" style="0" customWidth="1"/>
    <col min="3" max="3" width="22.8515625" style="0" customWidth="1"/>
    <col min="4" max="4" width="33.00390625" style="0" customWidth="1"/>
    <col min="5" max="5" width="36.421875" style="117" customWidth="1"/>
    <col min="6" max="6" width="4.421875" style="0" customWidth="1"/>
    <col min="7" max="7" width="32.28125" style="0" customWidth="1"/>
    <col min="8" max="8" width="19.421875" style="0" customWidth="1"/>
    <col min="9" max="10" width="28.7109375" style="0" customWidth="1"/>
    <col min="11" max="11" width="18.421875" style="0" customWidth="1"/>
    <col min="12" max="12" width="16.421875" style="0" customWidth="1"/>
    <col min="13" max="13" width="22.00390625" style="0" customWidth="1"/>
    <col min="14" max="14" width="5.8515625" style="18" customWidth="1"/>
    <col min="15" max="15" width="26.00390625" style="0" customWidth="1"/>
    <col min="16" max="16" width="25.28125" style="0" customWidth="1"/>
    <col min="17" max="17" width="28.140625" style="10" customWidth="1"/>
    <col min="19" max="19" width="0" style="0" hidden="1" customWidth="1"/>
  </cols>
  <sheetData>
    <row r="1" ht="15">
      <c r="D1" s="36"/>
    </row>
    <row r="2" spans="7:17" ht="24.75">
      <c r="G2" s="519" t="s">
        <v>513</v>
      </c>
      <c r="H2" s="519"/>
      <c r="I2" s="519"/>
      <c r="J2" s="519"/>
      <c r="K2" s="519"/>
      <c r="L2" s="519"/>
      <c r="M2" s="519"/>
      <c r="O2" s="520" t="s">
        <v>514</v>
      </c>
      <c r="P2" s="520"/>
      <c r="Q2" s="520"/>
    </row>
    <row r="3" spans="7:17" ht="15">
      <c r="G3" s="192"/>
      <c r="H3" s="18"/>
      <c r="I3" s="18"/>
      <c r="J3" s="18"/>
      <c r="K3" s="18"/>
      <c r="L3" s="18"/>
      <c r="M3" s="193"/>
      <c r="O3" s="194"/>
      <c r="P3" s="195"/>
      <c r="Q3" s="196"/>
    </row>
    <row r="4" spans="7:17" ht="21" customHeight="1">
      <c r="G4" s="521" t="s">
        <v>515</v>
      </c>
      <c r="H4" s="521"/>
      <c r="I4" s="521"/>
      <c r="J4" s="521"/>
      <c r="K4" s="521"/>
      <c r="L4" s="521"/>
      <c r="M4" s="521"/>
      <c r="O4" s="194"/>
      <c r="P4" s="195"/>
      <c r="Q4" s="196"/>
    </row>
    <row r="5" spans="7:17" ht="18.75">
      <c r="G5" s="197" t="s">
        <v>516</v>
      </c>
      <c r="H5" s="198"/>
      <c r="I5" s="198"/>
      <c r="J5" s="198"/>
      <c r="K5" s="199"/>
      <c r="L5" s="199"/>
      <c r="M5" s="200"/>
      <c r="O5" s="194"/>
      <c r="P5" s="195"/>
      <c r="Q5" s="196"/>
    </row>
    <row r="6" spans="7:17" ht="15">
      <c r="G6" s="192"/>
      <c r="H6" s="18"/>
      <c r="I6" s="18"/>
      <c r="J6" s="18"/>
      <c r="K6" s="18"/>
      <c r="L6" s="18"/>
      <c r="M6" s="193"/>
      <c r="O6" s="201"/>
      <c r="P6" s="202"/>
      <c r="Q6" s="203"/>
    </row>
    <row r="7" spans="2:17" s="204" customFormat="1" ht="36">
      <c r="B7" s="205"/>
      <c r="C7" s="206" t="s">
        <v>517</v>
      </c>
      <c r="D7" s="207" t="s">
        <v>518</v>
      </c>
      <c r="E7" s="208" t="s">
        <v>519</v>
      </c>
      <c r="G7" s="522" t="s">
        <v>520</v>
      </c>
      <c r="H7" s="522"/>
      <c r="I7" s="522"/>
      <c r="J7" s="522"/>
      <c r="K7" s="209" t="s">
        <v>521</v>
      </c>
      <c r="L7" s="209" t="s">
        <v>522</v>
      </c>
      <c r="M7" s="210" t="s">
        <v>523</v>
      </c>
      <c r="N7" s="211"/>
      <c r="O7" s="212" t="s">
        <v>521</v>
      </c>
      <c r="P7" s="213" t="s">
        <v>522</v>
      </c>
      <c r="Q7" s="214" t="s">
        <v>523</v>
      </c>
    </row>
    <row r="8" spans="3:17" ht="53.25" customHeight="1">
      <c r="C8" s="523" t="s">
        <v>664</v>
      </c>
      <c r="D8" s="215" t="s">
        <v>524</v>
      </c>
      <c r="E8" s="216" t="s">
        <v>525</v>
      </c>
      <c r="G8" s="524" t="s">
        <v>526</v>
      </c>
      <c r="H8" s="524"/>
      <c r="I8" s="217"/>
      <c r="J8" s="218"/>
      <c r="K8" s="219" t="e">
        <f>-'Descriptif initial'!C11*2100*12*2.13/1000</f>
        <v>#VALUE!</v>
      </c>
      <c r="L8" s="220"/>
      <c r="M8" s="221" t="e">
        <f>IF('Descriptif initial'!$C$12="électricité",(K8*(VLOOKUP("elec HP.",'Bases calculs conso habitat '!$A$2:$B$9,2))*0.7)+(K8*(VLOOKUP("elec HC.",'Bases calculs conso habitat '!$A$2:$B$9,2))*0.3),K8*'Descriptif initial'!$D$12)</f>
        <v>#VALUE!</v>
      </c>
      <c r="N8" s="222"/>
      <c r="O8" s="223" t="e">
        <f>#REF!</f>
        <v>#REF!</v>
      </c>
      <c r="P8" s="224"/>
      <c r="Q8" s="225" t="e">
        <f>#REF!</f>
        <v>#REF!</v>
      </c>
    </row>
    <row r="9" spans="3:17" ht="42" customHeight="1">
      <c r="C9" s="523"/>
      <c r="D9" s="215" t="s">
        <v>527</v>
      </c>
      <c r="E9" s="226" t="s">
        <v>528</v>
      </c>
      <c r="G9" s="524" t="s">
        <v>529</v>
      </c>
      <c r="H9" s="524"/>
      <c r="I9" s="25"/>
      <c r="J9" s="227"/>
      <c r="K9" s="219">
        <f>-10*'Descriptif initial'!C9</f>
        <v>0</v>
      </c>
      <c r="L9" s="220"/>
      <c r="M9" s="221" t="e">
        <f>IF('Descriptif initial'!$C$12="électricité",(K9*(VLOOKUP("elec HP.",'Bases calculs conso habitat '!$A$2:$B$7,2))*0.7)+(K9*(VLOOKUP("elec HC.",'Bases calculs conso habitat '!$A$2:$B$7,2))*0.3),K9*'Descriptif initial'!$D$12)</f>
        <v>#VALUE!</v>
      </c>
      <c r="N9" s="222"/>
      <c r="O9" s="223" t="e">
        <f>#REF!</f>
        <v>#REF!</v>
      </c>
      <c r="P9" s="224"/>
      <c r="Q9" s="225" t="e">
        <f>#REF!</f>
        <v>#REF!</v>
      </c>
    </row>
    <row r="10" spans="3:19" ht="45">
      <c r="C10" s="523"/>
      <c r="D10" s="215" t="s">
        <v>530</v>
      </c>
      <c r="E10" s="226" t="s">
        <v>446</v>
      </c>
      <c r="G10" s="228" t="s">
        <v>447</v>
      </c>
      <c r="H10" s="229">
        <f>IF(S10=TRUE,"La consommation de chauffage seul ne peut être identifiée",'Descriptif initial'!$I$26)</f>
      </c>
      <c r="I10" s="25"/>
      <c r="J10" s="227"/>
      <c r="K10" s="219" t="e">
        <f>IF(H11="La consommation de chauffage seul ne peut être identifiée","0",-0.21*H10*10/24*5/7)</f>
        <v>#VALUE!</v>
      </c>
      <c r="L10" s="220"/>
      <c r="M10" s="221" t="e">
        <f>IF('Descriptif initial'!$C$12="électricité",(K10*(VLOOKUP("elec HP.",'Bases calculs conso habitat '!$A$2:$B$7,2))*0.7)+(K10*(VLOOKUP("elec HC.",'Bases calculs conso habitat '!$A$2:$B$7,2))*0.3),K10*'Descriptif initial'!$D$12)</f>
        <v>#VALUE!</v>
      </c>
      <c r="N10" s="222"/>
      <c r="O10" s="223" t="e">
        <f>#REF!</f>
        <v>#REF!</v>
      </c>
      <c r="P10" s="224"/>
      <c r="Q10" s="225" t="e">
        <f>#REF!</f>
        <v>#REF!</v>
      </c>
      <c r="S10" t="b">
        <f>OR(ISNUMBER(FIND("Consommation",'Descriptif initial'!$I$26)),ISNUMBER(FIND("consommation",'Descriptif initial'!$I$26)),ISNUMBER(FIND("consommations",'Descriptif initial'!$I$26)))</f>
        <v>0</v>
      </c>
    </row>
    <row r="11" spans="3:19" ht="30">
      <c r="C11" s="523"/>
      <c r="D11" s="215" t="s">
        <v>448</v>
      </c>
      <c r="E11" s="226" t="s">
        <v>449</v>
      </c>
      <c r="G11" s="228" t="s">
        <v>447</v>
      </c>
      <c r="H11" s="229">
        <f>IF(S11=TRUE,"La consommation de chauffage seul ne peut être identifiée",'Descriptif initial'!$I$26)</f>
      </c>
      <c r="I11" s="25"/>
      <c r="J11" s="227"/>
      <c r="K11" s="219" t="e">
        <f>IF(H11="La consommation de chauffage seul ne peut être identifiée","0",-0.08*'Descriptif initial'!C26)</f>
        <v>#VALUE!</v>
      </c>
      <c r="L11" s="220"/>
      <c r="M11" s="221" t="e">
        <f>IF('Descriptif initial'!$C$12="électricité",(K11*(VLOOKUP("elec HP.",'Bases calculs conso habitat '!$A$2:$B$7,2))*0.7)+(K11*(VLOOKUP("elec HC.",'Bases calculs conso habitat '!$A$2:$B$7,2))*0.3),K11*'Descriptif initial'!$D$12)</f>
        <v>#VALUE!</v>
      </c>
      <c r="N11" s="222"/>
      <c r="O11" s="223" t="e">
        <f>#REF!</f>
        <v>#REF!</v>
      </c>
      <c r="P11" s="224"/>
      <c r="Q11" s="225" t="e">
        <f>#REF!</f>
        <v>#REF!</v>
      </c>
      <c r="S11" t="b">
        <f>OR(ISNUMBER(FIND("Consommation",'Descriptif initial'!$I$26)),ISNUMBER(FIND("consommation",'Descriptif initial'!$I$26)),ISNUMBER(FIND("consommations",'Descriptif initial'!$I$26)))</f>
        <v>0</v>
      </c>
    </row>
    <row r="12" spans="3:19" ht="30">
      <c r="C12" s="523"/>
      <c r="D12" s="215" t="s">
        <v>450</v>
      </c>
      <c r="E12" s="226" t="s">
        <v>451</v>
      </c>
      <c r="G12" s="228" t="s">
        <v>447</v>
      </c>
      <c r="H12" s="229">
        <f>IF(S12=TRUE,"La consommation de chauffage seul ne peut être identifiée",'Descriptif initial'!$I$26)</f>
      </c>
      <c r="I12" s="25"/>
      <c r="J12" s="227"/>
      <c r="K12" s="230"/>
      <c r="L12" s="220"/>
      <c r="M12" s="221" t="e">
        <f>0.2*'Descriptif initial'!C26*(VLOOKUP("pétrole",'Bases calculs conso habitat '!$A$2:$B$10,2)-(IF('Descriptif initial'!$C$12="électricité",VLOOKUP("elec HP.",'Bases calculs conso habitat '!$A$2:$B$10,2),'Descriptif initial'!$D$12)))</f>
        <v>#VALUE!</v>
      </c>
      <c r="N12" s="222"/>
      <c r="O12" s="224"/>
      <c r="P12" s="224"/>
      <c r="Q12" s="225" t="e">
        <f>#REF!</f>
        <v>#REF!</v>
      </c>
      <c r="S12" t="b">
        <f>OR(ISNUMBER(FIND("Consommation",'Descriptif initial'!$I$26)),ISNUMBER(FIND("consommation",'Descriptif initial'!$I$26)),ISNUMBER(FIND("consommations",'Descriptif initial'!$I$26)))</f>
        <v>0</v>
      </c>
    </row>
    <row r="13" spans="3:19" ht="100.5" customHeight="1">
      <c r="C13" s="525" t="s">
        <v>718</v>
      </c>
      <c r="D13" s="215" t="s">
        <v>452</v>
      </c>
      <c r="E13" s="226" t="s">
        <v>453</v>
      </c>
      <c r="G13" s="228" t="s">
        <v>454</v>
      </c>
      <c r="H13" s="231">
        <f>IF(S13=TRUE,"La consommation d'ECS seule ne peut être identifiée",'Descriptif initial'!I27)</f>
      </c>
      <c r="I13" s="25"/>
      <c r="J13" s="227"/>
      <c r="K13" s="232" t="e">
        <f>IF(H13="La consommation d'ECS seule ne peut être identifiée","0",-0.4*H13)</f>
        <v>#VALUE!</v>
      </c>
      <c r="L13" s="233">
        <f>-0.5*('Consommation appareils'!J22+'Consommation appareils'!J28+SUM('Consommation appareils'!Q136:Q138))</f>
        <v>-37.2155</v>
      </c>
      <c r="M13" s="221" t="e">
        <f>(IF('Descriptif initial'!$C$15="électricité",K13*(VLOOKUP("elec HP.",'Bases calculs conso habitat '!$A$2:$B$7,2)),K13*'Descriptif initial'!$D$15))+(L13*'Bases calculs conso habitat '!$B$13)</f>
        <v>#VALUE!</v>
      </c>
      <c r="N13" s="222"/>
      <c r="O13" s="223" t="e">
        <f>#REF!</f>
        <v>#REF!</v>
      </c>
      <c r="P13" s="234" t="e">
        <f>#REF!</f>
        <v>#REF!</v>
      </c>
      <c r="Q13" s="235" t="e">
        <f>#REF!</f>
        <v>#REF!</v>
      </c>
      <c r="S13" t="b">
        <f>OR(ISNUMBER(FIND("Consommation",'Descriptif initial'!I27)),ISNUMBER(FIND("consommation",'Descriptif initial'!I27)),ISNUMBER(FIND("consommations",'Descriptif initial'!I27)))</f>
        <v>0</v>
      </c>
    </row>
    <row r="14" spans="3:17" ht="48.75" customHeight="1">
      <c r="C14" s="525"/>
      <c r="D14" s="215" t="s">
        <v>455</v>
      </c>
      <c r="E14" s="226" t="s">
        <v>456</v>
      </c>
      <c r="G14" s="524" t="s">
        <v>457</v>
      </c>
      <c r="H14" s="524"/>
      <c r="I14" s="25"/>
      <c r="J14" s="227"/>
      <c r="K14" s="219">
        <f>L14*1000*4.18*(38-12)/3600</f>
        <v>-1035.4788888888888</v>
      </c>
      <c r="L14" s="233">
        <f>-'Consommation appareils'!J22/2</f>
        <v>-34.3</v>
      </c>
      <c r="M14" s="221" t="e">
        <f>(IF('Descriptif initial'!$C$15="électricité",K14*(VLOOKUP("elec HP.",'Bases calculs conso habitat '!$A$2:$B$7,2)),K14*'Descriptif initial'!$D$15))+(L14*'Bases calculs conso habitat '!$B$13)</f>
        <v>#VALUE!</v>
      </c>
      <c r="N14" s="222"/>
      <c r="O14" s="223" t="e">
        <f>#REF!</f>
        <v>#REF!</v>
      </c>
      <c r="P14" s="234" t="e">
        <f>#REF!</f>
        <v>#REF!</v>
      </c>
      <c r="Q14" s="235" t="e">
        <f>#REF!</f>
        <v>#REF!</v>
      </c>
    </row>
    <row r="15" spans="3:17" ht="30" customHeight="1">
      <c r="C15" s="525"/>
      <c r="D15" s="215" t="s">
        <v>458</v>
      </c>
      <c r="E15" s="226" t="s">
        <v>459</v>
      </c>
      <c r="G15" s="526"/>
      <c r="H15" s="526"/>
      <c r="I15" s="25"/>
      <c r="J15" s="227"/>
      <c r="K15" s="219">
        <f>0.2*L15*1000*4.18*(40-12)/3600</f>
        <v>201.73144444444446</v>
      </c>
      <c r="L15" s="233">
        <f>5*17/1000*365</f>
        <v>31.025000000000002</v>
      </c>
      <c r="M15" s="221" t="e">
        <f>(IF('Descriptif initial'!$C$15="électricité",K15*(VLOOKUP("elec HP.",'Bases calculs conso habitat '!$A$2:$B$7,2)),K15*'Descriptif initial'!$D$15))+(L15*'Bases calculs conso habitat '!$B$13)</f>
        <v>#VALUE!</v>
      </c>
      <c r="N15" s="222"/>
      <c r="O15" s="223" t="e">
        <f>#REF!</f>
        <v>#REF!</v>
      </c>
      <c r="P15" s="234" t="e">
        <f>#REF!</f>
        <v>#REF!</v>
      </c>
      <c r="Q15" s="235" t="e">
        <f>#REF!</f>
        <v>#REF!</v>
      </c>
    </row>
    <row r="16" spans="3:17" ht="105.75" customHeight="1">
      <c r="C16" s="525" t="s">
        <v>667</v>
      </c>
      <c r="D16" s="236" t="s">
        <v>460</v>
      </c>
      <c r="E16" s="226" t="s">
        <v>461</v>
      </c>
      <c r="G16" s="237" t="s">
        <v>462</v>
      </c>
      <c r="H16" s="238"/>
      <c r="I16" s="25"/>
      <c r="J16" s="227"/>
      <c r="K16" s="219">
        <f>H16*0.5*0.5</f>
        <v>0</v>
      </c>
      <c r="L16" s="220"/>
      <c r="M16" s="221" t="e">
        <f>IF(AND('Descriptif initial'!C16="électricité",'Descriptif initial'!C15="électricité"),K16*(VLOOKUP("elec HP.",'Bases calculs conso habitat '!$A$2:$B$7,2)),IF(AND('Descriptif initial'!C16="électricité",'Descriptif initial'!C15&lt;&gt;"électricité"),K16*(VLOOKUP("elec simple t.",'Bases calculs conso habitat '!$A$2:$B$7,2)),K16*'Descriptif initial'!D16))</f>
        <v>#VALUE!</v>
      </c>
      <c r="N16" s="222"/>
      <c r="O16" s="223" t="e">
        <f>#REF!</f>
        <v>#REF!</v>
      </c>
      <c r="P16" s="224"/>
      <c r="Q16" s="235" t="e">
        <f>#REF!</f>
        <v>#REF!</v>
      </c>
    </row>
    <row r="17" spans="3:17" ht="135">
      <c r="C17" s="525"/>
      <c r="D17" s="239" t="s">
        <v>463</v>
      </c>
      <c r="E17" s="240" t="s">
        <v>464</v>
      </c>
      <c r="G17" s="237" t="s">
        <v>465</v>
      </c>
      <c r="H17" s="238"/>
      <c r="I17" s="28"/>
      <c r="J17" s="81"/>
      <c r="K17" s="241">
        <f>-H17*0.5*0.2</f>
        <v>0</v>
      </c>
      <c r="L17" s="242"/>
      <c r="M17" s="243" t="e">
        <f>IF(AND('Descriptif initial'!C16="électricité",'Descriptif initial'!C15="électricité"),K17*(VLOOKUP("elec HP.",'Bases calculs conso habitat '!$A$2:$B$7,2)),IF(AND('Descriptif initial'!C16="électricité",'Descriptif initial'!C15&lt;&gt;"électricité"),K17*(VLOOKUP("elec simple t.",'Bases calculs conso habitat '!$A$2:$B$7,2)),K17*'Descriptif initial'!D16))</f>
        <v>#VALUE!</v>
      </c>
      <c r="N17" s="222"/>
      <c r="O17" s="223" t="e">
        <f>#REF!</f>
        <v>#REF!</v>
      </c>
      <c r="P17" s="224"/>
      <c r="Q17" s="235" t="e">
        <f>#REF!</f>
        <v>#REF!</v>
      </c>
    </row>
    <row r="18" spans="3:17" ht="40.5" customHeight="1">
      <c r="C18" s="525" t="s">
        <v>670</v>
      </c>
      <c r="D18" s="215" t="s">
        <v>466</v>
      </c>
      <c r="E18" s="226" t="s">
        <v>467</v>
      </c>
      <c r="G18" s="244" t="s">
        <v>417</v>
      </c>
      <c r="H18" s="30"/>
      <c r="I18" s="245"/>
      <c r="J18" s="246"/>
      <c r="K18" s="247">
        <f>-0.4*H18</f>
        <v>0</v>
      </c>
      <c r="L18" s="248"/>
      <c r="M18" s="249">
        <f>IF('Descriptif initial'!$C$15="électricité",(K18*(VLOOKUP("elec HP.",'Bases calculs conso habitat '!$A$2:$B$7,2))*0.7)+(K18*(VLOOKUP("elec HC.",'Bases calculs conso habitat '!$A$2:$B$7,2))*0.3),K18*(VLOOKUP("elec simple t.",'Bases calculs conso habitat '!$A$2:$B$7,2)))</f>
        <v>0</v>
      </c>
      <c r="N18" s="222"/>
      <c r="O18" s="223" t="e">
        <f>#REF!</f>
        <v>#REF!</v>
      </c>
      <c r="P18" s="224"/>
      <c r="Q18" s="225" t="e">
        <f>#REF!</f>
        <v>#REF!</v>
      </c>
    </row>
    <row r="19" spans="3:17" ht="60">
      <c r="C19" s="525"/>
      <c r="D19" s="215" t="s">
        <v>418</v>
      </c>
      <c r="E19" s="226" t="s">
        <v>419</v>
      </c>
      <c r="G19" s="244" t="s">
        <v>417</v>
      </c>
      <c r="H19" s="30"/>
      <c r="I19" s="245"/>
      <c r="J19" s="246"/>
      <c r="K19" s="247">
        <f>0.4*H19</f>
        <v>0</v>
      </c>
      <c r="L19" s="248"/>
      <c r="M19" s="249">
        <f>IF('Descriptif initial'!$C$15="électricité",(K19*(VLOOKUP("elec HP.",'Bases calculs conso habitat '!$A$2:$B$7,2))*0.7)+(K19*(VLOOKUP("elec HC.",'Bases calculs conso habitat '!$A$2:$B$7,2))*0.3),K19*(VLOOKUP("elec simple t.",'Bases calculs conso habitat '!$A$2:$B$7,2)))</f>
        <v>0</v>
      </c>
      <c r="N19" s="222"/>
      <c r="O19" s="223" t="e">
        <f>#REF!</f>
        <v>#REF!</v>
      </c>
      <c r="P19" s="224"/>
      <c r="Q19" s="225" t="e">
        <f>#REF!</f>
        <v>#REF!</v>
      </c>
    </row>
    <row r="20" spans="3:17" ht="53.25" customHeight="1">
      <c r="C20" s="525" t="s">
        <v>703</v>
      </c>
      <c r="D20" s="215" t="s">
        <v>420</v>
      </c>
      <c r="E20" s="226" t="s">
        <v>421</v>
      </c>
      <c r="G20" s="250" t="s">
        <v>422</v>
      </c>
      <c r="H20" s="30"/>
      <c r="I20" s="251" t="s">
        <v>423</v>
      </c>
      <c r="J20" s="30"/>
      <c r="K20" s="247">
        <f>0.2*(H20+J20)</f>
        <v>0</v>
      </c>
      <c r="L20" s="252" t="str">
        <f>IF(H20="","0",0.2*SUM('Consommation appareils'!Q36:Q41))</f>
        <v>0</v>
      </c>
      <c r="M20" s="249">
        <f>IF('Descriptif initial'!$C$15="électricité",K20*(VLOOKUP("elec HP.",'Bases calculs conso habitat '!$A$2:$B$7,2)),K20*(VLOOKUP("elec simple t.",'Bases calculs conso habitat '!$A$2:$B$7,2)))+L20*'Bases calculs conso habitat '!$B$13</f>
        <v>0</v>
      </c>
      <c r="N20" s="222"/>
      <c r="O20" s="223" t="e">
        <f>#REF!</f>
        <v>#REF!</v>
      </c>
      <c r="P20" s="234" t="e">
        <f>#REF!</f>
        <v>#REF!</v>
      </c>
      <c r="Q20" s="235" t="e">
        <f>#REF!</f>
        <v>#REF!</v>
      </c>
    </row>
    <row r="21" spans="3:17" ht="60">
      <c r="C21" s="525"/>
      <c r="D21" s="215" t="s">
        <v>424</v>
      </c>
      <c r="E21" s="226" t="s">
        <v>425</v>
      </c>
      <c r="G21" s="244" t="s">
        <v>422</v>
      </c>
      <c r="H21" s="30"/>
      <c r="I21" s="253"/>
      <c r="J21" s="254"/>
      <c r="K21" s="247">
        <f>0.4*H21</f>
        <v>0</v>
      </c>
      <c r="L21" s="248"/>
      <c r="M21" s="249">
        <f>IF('Descriptif initial'!$C$15="électricité",K21*(VLOOKUP("elec HP.",'Bases calculs conso habitat '!$A$2:$B$7,2)),K21*(VLOOKUP("elec simple t.",'Bases calculs conso habitat '!$A$2:$B$7,2)))</f>
        <v>0</v>
      </c>
      <c r="N21" s="222"/>
      <c r="O21" s="223" t="e">
        <f>#REF!</f>
        <v>#REF!</v>
      </c>
      <c r="P21" s="224"/>
      <c r="Q21" s="235" t="e">
        <f>#REF!</f>
        <v>#REF!</v>
      </c>
    </row>
    <row r="22" spans="3:17" s="10" customFormat="1" ht="40.5" customHeight="1">
      <c r="C22" s="525" t="s">
        <v>672</v>
      </c>
      <c r="D22" s="255" t="s">
        <v>426</v>
      </c>
      <c r="E22" s="256" t="s">
        <v>427</v>
      </c>
      <c r="G22" s="527" t="s">
        <v>428</v>
      </c>
      <c r="H22" s="527"/>
      <c r="I22" s="527"/>
      <c r="J22" s="527"/>
      <c r="K22" s="527"/>
      <c r="L22" s="527"/>
      <c r="M22" s="527"/>
      <c r="N22" s="257"/>
      <c r="O22" s="223" t="e">
        <f>#REF!</f>
        <v>#REF!</v>
      </c>
      <c r="P22" s="224"/>
      <c r="Q22" s="225" t="e">
        <f>#REF!</f>
        <v>#REF!</v>
      </c>
    </row>
    <row r="23" spans="3:17" ht="30" customHeight="1">
      <c r="C23" s="525"/>
      <c r="D23" s="215" t="s">
        <v>429</v>
      </c>
      <c r="E23" s="226" t="s">
        <v>430</v>
      </c>
      <c r="G23" s="528" t="s">
        <v>431</v>
      </c>
      <c r="H23" s="528"/>
      <c r="I23" s="217"/>
      <c r="J23" s="218"/>
      <c r="K23" s="247">
        <f>0.1*'Consommation appareils'!E26</f>
        <v>25.725</v>
      </c>
      <c r="L23" s="248"/>
      <c r="M23" s="249">
        <f>IF('Descriptif initial'!$C$15="électricité",K23*(VLOOKUP("elec HP.",'Bases calculs conso habitat '!$A$2:$B$7,2)),K23*(VLOOKUP("elec simple t.",'Bases calculs conso habitat '!$A$2:$B$7,2)))</f>
        <v>3.0381225</v>
      </c>
      <c r="N23" s="222"/>
      <c r="O23" s="223" t="e">
        <f>#REF!</f>
        <v>#REF!</v>
      </c>
      <c r="P23" s="224"/>
      <c r="Q23" s="225" t="e">
        <f>#REF!</f>
        <v>#REF!</v>
      </c>
    </row>
    <row r="24" spans="3:17" ht="30">
      <c r="C24" s="525"/>
      <c r="D24" s="215" t="s">
        <v>432</v>
      </c>
      <c r="E24" s="226" t="s">
        <v>433</v>
      </c>
      <c r="G24" s="528"/>
      <c r="H24" s="528"/>
      <c r="I24" s="28"/>
      <c r="J24" s="81"/>
      <c r="K24" s="247">
        <f>-0.2*'Consommation appareils'!E26</f>
        <v>-51.45</v>
      </c>
      <c r="L24" s="248"/>
      <c r="M24" s="249">
        <f>IF('Descriptif initial'!$C$15="électricité",K24*(VLOOKUP("elec HP.",'Bases calculs conso habitat '!$A$2:$B$7,2)),K24*(VLOOKUP("elec simple t.",'Bases calculs conso habitat '!$A$2:$B$7,2)))</f>
        <v>-6.076245</v>
      </c>
      <c r="N24" s="222"/>
      <c r="O24" s="223" t="e">
        <f>#REF!</f>
        <v>#REF!</v>
      </c>
      <c r="P24" s="224"/>
      <c r="Q24" s="225" t="e">
        <f>#REF!</f>
        <v>#REF!</v>
      </c>
    </row>
    <row r="25" spans="3:17" s="10" customFormat="1" ht="36">
      <c r="C25" s="258" t="s">
        <v>673</v>
      </c>
      <c r="D25" s="255" t="s">
        <v>434</v>
      </c>
      <c r="E25" s="256" t="s">
        <v>435</v>
      </c>
      <c r="G25" s="527" t="s">
        <v>428</v>
      </c>
      <c r="H25" s="527"/>
      <c r="I25" s="527"/>
      <c r="J25" s="527"/>
      <c r="K25" s="527"/>
      <c r="L25" s="527"/>
      <c r="M25" s="527"/>
      <c r="N25" s="257"/>
      <c r="O25" s="223" t="e">
        <f>#REF!</f>
        <v>#REF!</v>
      </c>
      <c r="P25" s="224"/>
      <c r="Q25" s="225" t="e">
        <f>#REF!</f>
        <v>#REF!</v>
      </c>
    </row>
    <row r="26" spans="3:17" ht="33" customHeight="1">
      <c r="C26" s="529" t="s">
        <v>436</v>
      </c>
      <c r="D26" s="215" t="s">
        <v>437</v>
      </c>
      <c r="E26" s="226" t="s">
        <v>438</v>
      </c>
      <c r="G26" s="524" t="s">
        <v>439</v>
      </c>
      <c r="H26" s="524"/>
      <c r="I26" s="15"/>
      <c r="J26" s="15"/>
      <c r="K26" s="259"/>
      <c r="L26" s="259"/>
      <c r="M26" s="221">
        <f>0.024*'Conso déplacement'!$B$11</f>
        <v>35.784</v>
      </c>
      <c r="N26" s="222"/>
      <c r="O26" s="260"/>
      <c r="P26" s="261"/>
      <c r="Q26" s="262"/>
    </row>
    <row r="27" spans="3:17" ht="27" customHeight="1">
      <c r="C27" s="529"/>
      <c r="D27" s="215" t="s">
        <v>440</v>
      </c>
      <c r="E27" s="226" t="s">
        <v>441</v>
      </c>
      <c r="G27" s="530" t="s">
        <v>439</v>
      </c>
      <c r="H27" s="530"/>
      <c r="I27" s="263" t="s">
        <v>442</v>
      </c>
      <c r="J27" s="134"/>
      <c r="K27" s="264"/>
      <c r="L27" s="264"/>
      <c r="M27" s="265">
        <f>-J27*52/2*'Conso déplacement'!$B$17</f>
        <v>0</v>
      </c>
      <c r="N27" s="222"/>
      <c r="O27" s="260"/>
      <c r="P27" s="261"/>
      <c r="Q27" s="266"/>
    </row>
    <row r="28" spans="3:17" ht="81" customHeight="1">
      <c r="C28" s="529"/>
      <c r="D28" s="267" t="s">
        <v>443</v>
      </c>
      <c r="E28" s="226" t="s">
        <v>444</v>
      </c>
      <c r="G28" s="530" t="s">
        <v>439</v>
      </c>
      <c r="H28" s="530"/>
      <c r="I28" s="268" t="s">
        <v>445</v>
      </c>
      <c r="J28" s="269"/>
      <c r="K28" s="270"/>
      <c r="L28" s="270"/>
      <c r="M28" s="271">
        <f>-J28*45*'Conso déplacement'!$B$17</f>
        <v>0</v>
      </c>
      <c r="N28" s="222"/>
      <c r="O28" s="272"/>
      <c r="P28" s="273"/>
      <c r="Q28" s="274"/>
    </row>
    <row r="29" spans="3:17" ht="18">
      <c r="C29" s="39"/>
      <c r="E29" s="275"/>
      <c r="G29" s="276" t="s">
        <v>357</v>
      </c>
      <c r="N29" s="222"/>
      <c r="O29" s="39"/>
      <c r="P29" s="39"/>
      <c r="Q29" s="277"/>
    </row>
    <row r="30" spans="3:17" ht="15">
      <c r="C30" s="39"/>
      <c r="D30" s="39"/>
      <c r="E30" s="275"/>
      <c r="N30" s="222"/>
      <c r="O30" s="39"/>
      <c r="P30" s="39"/>
      <c r="Q30" s="277"/>
    </row>
    <row r="31" spans="3:17" ht="15">
      <c r="C31" s="39"/>
      <c r="D31" s="39"/>
      <c r="E31" s="275"/>
      <c r="N31" s="222"/>
      <c r="O31" s="39"/>
      <c r="P31" s="39"/>
      <c r="Q31" s="277"/>
    </row>
    <row r="32" spans="3:17" ht="15">
      <c r="C32" s="39"/>
      <c r="D32" s="39"/>
      <c r="E32" s="275"/>
      <c r="N32" s="222"/>
      <c r="O32" s="39"/>
      <c r="P32" s="39"/>
      <c r="Q32" s="277"/>
    </row>
    <row r="33" spans="5:17" ht="15">
      <c r="E33" s="275"/>
      <c r="N33" s="222"/>
      <c r="O33" s="39"/>
      <c r="P33" s="39"/>
      <c r="Q33" s="277"/>
    </row>
    <row r="34" spans="3:17" ht="15">
      <c r="C34" s="39"/>
      <c r="D34" s="39"/>
      <c r="E34" s="275"/>
      <c r="N34" s="222"/>
      <c r="O34" s="39"/>
      <c r="P34" s="39"/>
      <c r="Q34" s="277"/>
    </row>
    <row r="35" spans="3:17" ht="18">
      <c r="C35" s="531" t="s">
        <v>358</v>
      </c>
      <c r="D35" s="531"/>
      <c r="E35" s="531"/>
      <c r="F35" s="531"/>
      <c r="G35" s="531"/>
      <c r="H35" s="531"/>
      <c r="I35" s="531"/>
      <c r="J35" s="531"/>
      <c r="K35" s="531"/>
      <c r="L35" s="531"/>
      <c r="M35" s="531"/>
      <c r="N35" s="531"/>
      <c r="O35" s="531"/>
      <c r="P35" s="531"/>
      <c r="Q35" s="531"/>
    </row>
    <row r="36" spans="3:17" ht="15">
      <c r="C36" s="61"/>
      <c r="D36" s="61"/>
      <c r="E36" s="278"/>
      <c r="N36" s="279"/>
      <c r="O36" s="61"/>
      <c r="P36" s="61"/>
      <c r="Q36" s="280"/>
    </row>
    <row r="37" ht="15">
      <c r="Q37" s="176"/>
    </row>
  </sheetData>
  <sheetProtection selectLockedCells="1" selectUnlockedCells="1"/>
  <mergeCells count="22">
    <mergeCell ref="C35:Q35"/>
    <mergeCell ref="G22:M22"/>
    <mergeCell ref="G23:H24"/>
    <mergeCell ref="G25:M25"/>
    <mergeCell ref="C26:C28"/>
    <mergeCell ref="G26:H26"/>
    <mergeCell ref="G27:H27"/>
    <mergeCell ref="G28:H28"/>
    <mergeCell ref="C16:C17"/>
    <mergeCell ref="C18:C19"/>
    <mergeCell ref="C20:C21"/>
    <mergeCell ref="C22:C24"/>
    <mergeCell ref="C8:C12"/>
    <mergeCell ref="G8:H8"/>
    <mergeCell ref="G9:H9"/>
    <mergeCell ref="C13:C15"/>
    <mergeCell ref="G14:H14"/>
    <mergeCell ref="G15:H15"/>
    <mergeCell ref="G2:M2"/>
    <mergeCell ref="O2:Q2"/>
    <mergeCell ref="G4:M4"/>
    <mergeCell ref="G7:J7"/>
  </mergeCells>
  <printOptions/>
  <pageMargins left="0.31527777777777777" right="0.31527777777777777" top="0.47291666666666665" bottom="0.4722222222222222" header="0.1701388888888889" footer="0.5118055555555555"/>
  <pageSetup fitToHeight="1" fitToWidth="1" horizontalDpi="300" verticalDpi="300" orientation="landscape" paperSize="8"/>
  <headerFooter alignWithMargins="0">
    <oddHeader>&amp;C&amp;24Simulation des économies générées par des modifications de comportements</oddHeader>
  </headerFooter>
  <drawing r:id="rId1"/>
</worksheet>
</file>

<file path=xl/worksheets/sheet6.xml><?xml version="1.0" encoding="utf-8"?>
<worksheet xmlns="http://schemas.openxmlformats.org/spreadsheetml/2006/main" xmlns:r="http://schemas.openxmlformats.org/officeDocument/2006/relationships">
  <sheetPr codeName="Feuil10"/>
  <dimension ref="A1:AG262"/>
  <sheetViews>
    <sheetView showGridLines="0" zoomScale="85" zoomScaleNormal="85" zoomScaleSheetLayoutView="100" workbookViewId="0" topLeftCell="A249">
      <selection activeCell="X12" sqref="X12"/>
    </sheetView>
  </sheetViews>
  <sheetFormatPr defaultColWidth="11.421875" defaultRowHeight="15"/>
  <cols>
    <col min="1" max="18" width="5.7109375" style="0" customWidth="1"/>
    <col min="19" max="19" width="5.7109375" style="18" customWidth="1"/>
    <col min="20" max="24" width="5.7109375" style="0" customWidth="1"/>
  </cols>
  <sheetData>
    <row r="1" spans="1:21" ht="21.75" customHeight="1">
      <c r="A1" s="532" t="s">
        <v>359</v>
      </c>
      <c r="B1" s="282"/>
      <c r="C1" s="282"/>
      <c r="D1" s="282"/>
      <c r="E1" s="282"/>
      <c r="F1" s="283"/>
      <c r="G1" s="282"/>
      <c r="H1" s="282"/>
      <c r="I1" s="282"/>
      <c r="J1" s="282"/>
      <c r="K1" s="283"/>
      <c r="L1" s="282"/>
      <c r="M1" s="282"/>
      <c r="N1" s="282"/>
      <c r="O1" s="282"/>
      <c r="P1" s="282"/>
      <c r="Q1" s="282"/>
      <c r="R1" s="283"/>
      <c r="S1" s="284"/>
      <c r="U1" s="6"/>
    </row>
    <row r="2" spans="1:19" ht="12.75" customHeight="1">
      <c r="A2" s="532"/>
      <c r="B2" s="285" t="s">
        <v>360</v>
      </c>
      <c r="C2" s="285"/>
      <c r="D2" s="285"/>
      <c r="E2" s="285"/>
      <c r="F2" s="285"/>
      <c r="G2" s="285" t="s">
        <v>361</v>
      </c>
      <c r="H2" s="285"/>
      <c r="I2" s="285"/>
      <c r="J2" s="285"/>
      <c r="K2" s="285"/>
      <c r="L2" s="285" t="s">
        <v>362</v>
      </c>
      <c r="M2" s="285"/>
      <c r="N2" s="285"/>
      <c r="O2" s="285"/>
      <c r="P2" s="285"/>
      <c r="Q2" s="285"/>
      <c r="R2" s="285"/>
      <c r="S2" s="286"/>
    </row>
    <row r="3" spans="1:19" ht="16.5" customHeight="1">
      <c r="A3" s="532"/>
      <c r="B3" s="287"/>
      <c r="C3" s="287"/>
      <c r="D3" s="287"/>
      <c r="E3" s="287"/>
      <c r="F3" s="287"/>
      <c r="G3" s="287"/>
      <c r="H3" s="287"/>
      <c r="I3" s="285"/>
      <c r="J3" s="287"/>
      <c r="K3" s="287"/>
      <c r="L3" s="287"/>
      <c r="M3" s="287"/>
      <c r="N3" s="287"/>
      <c r="O3" s="287"/>
      <c r="P3" s="287"/>
      <c r="Q3" s="287"/>
      <c r="R3" s="285"/>
      <c r="S3" s="286"/>
    </row>
    <row r="4" spans="1:19" s="290" customFormat="1" ht="12.75" customHeight="1">
      <c r="A4" s="532"/>
      <c r="B4" s="288" t="s">
        <v>363</v>
      </c>
      <c r="C4" s="288"/>
      <c r="D4" s="288"/>
      <c r="E4" s="288"/>
      <c r="F4" s="288"/>
      <c r="G4" s="288"/>
      <c r="H4" s="288"/>
      <c r="I4" s="288"/>
      <c r="J4" s="288" t="s">
        <v>364</v>
      </c>
      <c r="K4" s="288"/>
      <c r="L4" s="288"/>
      <c r="M4" s="288"/>
      <c r="N4" s="288"/>
      <c r="O4" s="288"/>
      <c r="P4" s="288"/>
      <c r="Q4" s="288"/>
      <c r="R4" s="288"/>
      <c r="S4" s="289"/>
    </row>
    <row r="5" spans="1:19" ht="16.5" customHeight="1">
      <c r="A5" s="532"/>
      <c r="B5" s="287"/>
      <c r="C5" s="287"/>
      <c r="D5" s="287"/>
      <c r="E5" s="287"/>
      <c r="F5" s="285"/>
      <c r="G5" s="285"/>
      <c r="H5" s="285"/>
      <c r="I5" s="285"/>
      <c r="J5" s="285"/>
      <c r="K5" s="285"/>
      <c r="L5" s="285"/>
      <c r="M5" s="285"/>
      <c r="N5" s="285"/>
      <c r="O5" s="285"/>
      <c r="P5" s="285"/>
      <c r="Q5" s="285"/>
      <c r="R5" s="285"/>
      <c r="S5" s="286"/>
    </row>
    <row r="6" spans="1:19" s="290" customFormat="1" ht="12.75" customHeight="1">
      <c r="A6" s="532"/>
      <c r="B6" s="288" t="s">
        <v>365</v>
      </c>
      <c r="C6" s="288"/>
      <c r="D6" s="288"/>
      <c r="E6" s="288"/>
      <c r="F6" s="288"/>
      <c r="G6" s="288" t="s">
        <v>366</v>
      </c>
      <c r="H6" s="288"/>
      <c r="I6" s="288"/>
      <c r="J6" s="291" t="s">
        <v>367</v>
      </c>
      <c r="K6" s="288"/>
      <c r="L6" s="288"/>
      <c r="M6" s="292"/>
      <c r="N6" s="291" t="s">
        <v>368</v>
      </c>
      <c r="O6" s="288"/>
      <c r="P6" s="288"/>
      <c r="Q6" s="288"/>
      <c r="R6" s="288"/>
      <c r="S6" s="289"/>
    </row>
    <row r="7" spans="1:19" ht="16.5" customHeight="1">
      <c r="A7" s="532"/>
      <c r="B7" s="293"/>
      <c r="C7" s="285"/>
      <c r="D7" s="285"/>
      <c r="E7" s="285"/>
      <c r="F7" s="285"/>
      <c r="G7" s="285"/>
      <c r="H7" s="285"/>
      <c r="I7" s="285"/>
      <c r="J7" s="291" t="s">
        <v>369</v>
      </c>
      <c r="K7" s="285"/>
      <c r="L7" s="285"/>
      <c r="M7" s="285"/>
      <c r="N7" s="285"/>
      <c r="O7" s="285"/>
      <c r="P7" s="285"/>
      <c r="Q7" s="285"/>
      <c r="R7" s="285"/>
      <c r="S7" s="286"/>
    </row>
    <row r="8" spans="1:19" ht="4.5" customHeight="1">
      <c r="A8" s="294"/>
      <c r="B8" s="285"/>
      <c r="C8" s="285"/>
      <c r="D8" s="285"/>
      <c r="E8" s="285"/>
      <c r="F8" s="285"/>
      <c r="G8" s="285"/>
      <c r="H8" s="285"/>
      <c r="I8" s="285"/>
      <c r="J8" s="288"/>
      <c r="K8" s="285"/>
      <c r="L8" s="285"/>
      <c r="M8" s="285"/>
      <c r="N8" s="285"/>
      <c r="O8" s="285"/>
      <c r="P8" s="285"/>
      <c r="Q8" s="285"/>
      <c r="R8" s="285"/>
      <c r="S8" s="286"/>
    </row>
    <row r="9" spans="1:19" ht="4.5" customHeight="1">
      <c r="A9" s="281"/>
      <c r="B9" s="283"/>
      <c r="C9" s="283"/>
      <c r="D9" s="283"/>
      <c r="E9" s="283"/>
      <c r="F9" s="283"/>
      <c r="G9" s="283"/>
      <c r="H9" s="283"/>
      <c r="I9" s="283"/>
      <c r="J9" s="295"/>
      <c r="K9" s="283"/>
      <c r="L9" s="283"/>
      <c r="M9" s="283"/>
      <c r="N9" s="283"/>
      <c r="O9" s="283"/>
      <c r="P9" s="283"/>
      <c r="Q9" s="283"/>
      <c r="R9" s="283"/>
      <c r="S9" s="284"/>
    </row>
    <row r="10" spans="1:19" ht="16.5" customHeight="1">
      <c r="A10" s="533" t="s">
        <v>370</v>
      </c>
      <c r="B10" s="287"/>
      <c r="C10" s="287"/>
      <c r="D10" s="287"/>
      <c r="E10" s="287"/>
      <c r="F10" s="285"/>
      <c r="G10" s="287"/>
      <c r="H10" s="287"/>
      <c r="I10" s="287"/>
      <c r="J10" s="287"/>
      <c r="K10" s="285"/>
      <c r="L10" s="285"/>
      <c r="M10" s="285"/>
      <c r="N10" s="285"/>
      <c r="O10" s="285"/>
      <c r="P10" s="285"/>
      <c r="Q10" s="285"/>
      <c r="R10" s="285"/>
      <c r="S10" s="286"/>
    </row>
    <row r="11" spans="1:19" ht="12.75" customHeight="1">
      <c r="A11" s="533"/>
      <c r="B11" s="285" t="s">
        <v>360</v>
      </c>
      <c r="C11" s="285"/>
      <c r="D11" s="285"/>
      <c r="E11" s="285"/>
      <c r="F11" s="285"/>
      <c r="G11" s="285" t="s">
        <v>361</v>
      </c>
      <c r="H11" s="285"/>
      <c r="I11" s="285"/>
      <c r="J11" s="285"/>
      <c r="K11" s="285"/>
      <c r="L11" s="285"/>
      <c r="M11" s="285"/>
      <c r="N11" s="285"/>
      <c r="O11" s="285"/>
      <c r="P11" s="285"/>
      <c r="Q11" s="285"/>
      <c r="R11" s="285"/>
      <c r="S11" s="286"/>
    </row>
    <row r="12" spans="1:19" ht="16.5" customHeight="1">
      <c r="A12" s="533"/>
      <c r="B12" s="287"/>
      <c r="C12" s="287"/>
      <c r="D12" s="287"/>
      <c r="E12" s="287"/>
      <c r="F12" s="287"/>
      <c r="G12" s="287"/>
      <c r="H12" s="287"/>
      <c r="I12" s="287"/>
      <c r="J12" s="287"/>
      <c r="K12" s="287"/>
      <c r="L12" s="287"/>
      <c r="M12" s="287"/>
      <c r="N12" s="287"/>
      <c r="O12" s="287"/>
      <c r="P12" s="287"/>
      <c r="Q12" s="287"/>
      <c r="R12" s="287"/>
      <c r="S12" s="297"/>
    </row>
    <row r="13" spans="1:19" ht="12.75" customHeight="1">
      <c r="A13" s="533"/>
      <c r="B13" s="285" t="s">
        <v>371</v>
      </c>
      <c r="C13" s="285"/>
      <c r="D13" s="285"/>
      <c r="E13" s="285"/>
      <c r="F13" s="285"/>
      <c r="G13" s="285"/>
      <c r="H13" s="285"/>
      <c r="I13" s="285"/>
      <c r="J13" s="285"/>
      <c r="K13" s="285"/>
      <c r="L13" s="285"/>
      <c r="M13" s="285"/>
      <c r="N13" s="285"/>
      <c r="O13" s="285"/>
      <c r="P13" s="285"/>
      <c r="Q13" s="285"/>
      <c r="R13" s="285"/>
      <c r="S13" s="286"/>
    </row>
    <row r="14" spans="1:19" ht="16.5" customHeight="1">
      <c r="A14" s="533"/>
      <c r="B14" s="287"/>
      <c r="C14" s="287"/>
      <c r="D14" s="287"/>
      <c r="E14" s="287"/>
      <c r="F14" s="287"/>
      <c r="G14" s="287"/>
      <c r="H14" s="287"/>
      <c r="I14" s="285"/>
      <c r="J14" s="285"/>
      <c r="K14" s="287"/>
      <c r="L14" s="287"/>
      <c r="M14" s="287"/>
      <c r="N14" s="287"/>
      <c r="O14" s="287"/>
      <c r="P14" s="287"/>
      <c r="Q14" s="287"/>
      <c r="R14" s="287"/>
      <c r="S14" s="297"/>
    </row>
    <row r="15" spans="1:19" ht="12.75" customHeight="1">
      <c r="A15" s="533"/>
      <c r="B15" s="285" t="s">
        <v>363</v>
      </c>
      <c r="C15" s="285"/>
      <c r="D15" s="285"/>
      <c r="E15" s="285"/>
      <c r="F15" s="285"/>
      <c r="G15" s="285"/>
      <c r="H15" s="285"/>
      <c r="I15" s="285"/>
      <c r="J15" s="285"/>
      <c r="K15" s="285" t="s">
        <v>372</v>
      </c>
      <c r="L15" s="285"/>
      <c r="M15" s="285"/>
      <c r="N15" s="285"/>
      <c r="O15" s="285"/>
      <c r="P15" s="285"/>
      <c r="Q15" s="285"/>
      <c r="R15" s="285"/>
      <c r="S15" s="286"/>
    </row>
    <row r="16" spans="1:19" ht="4.5" customHeight="1">
      <c r="A16" s="533"/>
      <c r="B16" s="298"/>
      <c r="C16" s="298"/>
      <c r="D16" s="298"/>
      <c r="E16" s="298"/>
      <c r="F16" s="298"/>
      <c r="G16" s="298"/>
      <c r="H16" s="298"/>
      <c r="I16" s="298"/>
      <c r="J16" s="298"/>
      <c r="K16" s="298"/>
      <c r="L16" s="298"/>
      <c r="M16" s="285"/>
      <c r="N16" s="298"/>
      <c r="O16" s="298"/>
      <c r="P16" s="298"/>
      <c r="Q16" s="298"/>
      <c r="R16" s="298"/>
      <c r="S16" s="299"/>
    </row>
    <row r="17" spans="1:19" ht="4.5" customHeight="1">
      <c r="A17" s="300"/>
      <c r="B17" s="285"/>
      <c r="C17" s="285"/>
      <c r="D17" s="285"/>
      <c r="E17" s="285"/>
      <c r="F17" s="285"/>
      <c r="G17" s="285"/>
      <c r="H17" s="285"/>
      <c r="I17" s="285"/>
      <c r="J17" s="285"/>
      <c r="K17" s="285"/>
      <c r="L17" s="285"/>
      <c r="M17" s="283"/>
      <c r="N17" s="285"/>
      <c r="O17" s="285"/>
      <c r="P17" s="285"/>
      <c r="Q17" s="285"/>
      <c r="R17" s="285"/>
      <c r="S17" s="286"/>
    </row>
    <row r="18" spans="1:19" ht="16.5" customHeight="1">
      <c r="A18" s="534" t="s">
        <v>373</v>
      </c>
      <c r="B18" s="285"/>
      <c r="C18" s="285"/>
      <c r="D18" s="285"/>
      <c r="E18" s="18"/>
      <c r="F18" s="285"/>
      <c r="G18" s="285"/>
      <c r="H18" s="285" t="s">
        <v>374</v>
      </c>
      <c r="I18" s="285"/>
      <c r="J18" s="285"/>
      <c r="K18" s="285"/>
      <c r="L18" s="285"/>
      <c r="M18" s="285"/>
      <c r="N18" s="285"/>
      <c r="O18" s="285"/>
      <c r="P18" s="285"/>
      <c r="Q18" s="285"/>
      <c r="R18" s="285"/>
      <c r="S18" s="286"/>
    </row>
    <row r="19" spans="1:19" ht="16.5" customHeight="1">
      <c r="A19" s="534"/>
      <c r="B19" s="285" t="s">
        <v>375</v>
      </c>
      <c r="C19" s="285"/>
      <c r="D19" s="285"/>
      <c r="E19" s="301"/>
      <c r="F19" s="18"/>
      <c r="G19" s="18"/>
      <c r="H19" s="285"/>
      <c r="I19" s="302" t="s">
        <v>376</v>
      </c>
      <c r="J19" s="18"/>
      <c r="K19" s="302" t="s">
        <v>377</v>
      </c>
      <c r="L19" s="285"/>
      <c r="M19" s="285"/>
      <c r="N19" s="285"/>
      <c r="O19" s="285"/>
      <c r="P19" s="285"/>
      <c r="Q19" s="285"/>
      <c r="R19" s="285"/>
      <c r="S19" s="286"/>
    </row>
    <row r="20" spans="1:19" ht="16.5" customHeight="1">
      <c r="A20" s="534"/>
      <c r="B20" s="285" t="s">
        <v>378</v>
      </c>
      <c r="C20" s="285"/>
      <c r="D20" s="285"/>
      <c r="E20" s="301"/>
      <c r="F20" s="18"/>
      <c r="G20" s="18"/>
      <c r="H20" s="285"/>
      <c r="I20" s="302" t="s">
        <v>376</v>
      </c>
      <c r="J20" s="18"/>
      <c r="K20" s="302" t="s">
        <v>377</v>
      </c>
      <c r="L20" s="285"/>
      <c r="M20" s="285"/>
      <c r="N20" s="285"/>
      <c r="O20" s="285"/>
      <c r="P20" s="285"/>
      <c r="Q20" s="285"/>
      <c r="R20" s="285"/>
      <c r="S20" s="286"/>
    </row>
    <row r="21" spans="1:19" ht="16.5" customHeight="1">
      <c r="A21" s="534"/>
      <c r="B21" s="285" t="s">
        <v>379</v>
      </c>
      <c r="C21" s="285"/>
      <c r="D21" s="285"/>
      <c r="E21" s="301"/>
      <c r="F21" s="18"/>
      <c r="G21" s="18"/>
      <c r="H21" s="285"/>
      <c r="I21" s="302" t="s">
        <v>376</v>
      </c>
      <c r="J21" s="18"/>
      <c r="K21" s="302" t="s">
        <v>377</v>
      </c>
      <c r="L21" s="285"/>
      <c r="M21" s="285"/>
      <c r="N21" s="285"/>
      <c r="O21" s="285"/>
      <c r="P21" s="285"/>
      <c r="Q21" s="285"/>
      <c r="R21" s="285"/>
      <c r="S21" s="286"/>
    </row>
    <row r="22" spans="1:19" ht="16.5" customHeight="1">
      <c r="A22" s="534"/>
      <c r="B22" s="285" t="s">
        <v>380</v>
      </c>
      <c r="C22" s="285"/>
      <c r="D22" s="285"/>
      <c r="E22" s="301"/>
      <c r="F22" s="18"/>
      <c r="G22" s="18"/>
      <c r="H22" s="285"/>
      <c r="I22" s="302" t="s">
        <v>376</v>
      </c>
      <c r="J22" s="18"/>
      <c r="K22" s="302" t="s">
        <v>377</v>
      </c>
      <c r="L22" s="285"/>
      <c r="M22" s="285"/>
      <c r="N22" s="285"/>
      <c r="O22" s="285"/>
      <c r="P22" s="285"/>
      <c r="Q22" s="285"/>
      <c r="R22" s="285"/>
      <c r="S22" s="286"/>
    </row>
    <row r="23" spans="1:19" ht="4.5" customHeight="1">
      <c r="A23" s="534"/>
      <c r="B23" s="285"/>
      <c r="C23" s="285"/>
      <c r="D23" s="285"/>
      <c r="E23" s="285"/>
      <c r="F23" s="285"/>
      <c r="G23" s="285"/>
      <c r="H23" s="285"/>
      <c r="I23" s="285"/>
      <c r="J23" s="285"/>
      <c r="K23" s="285"/>
      <c r="L23" s="285"/>
      <c r="M23" s="285"/>
      <c r="N23" s="285"/>
      <c r="O23" s="285"/>
      <c r="P23" s="285"/>
      <c r="Q23" s="285"/>
      <c r="R23" s="285"/>
      <c r="S23" s="286"/>
    </row>
    <row r="24" spans="1:19" ht="16.5" customHeight="1">
      <c r="A24" s="534"/>
      <c r="B24" s="303" t="s">
        <v>381</v>
      </c>
      <c r="C24" s="304"/>
      <c r="D24" s="304"/>
      <c r="F24" s="285"/>
      <c r="G24" s="285"/>
      <c r="H24" s="285"/>
      <c r="I24" s="301"/>
      <c r="J24" s="285"/>
      <c r="K24" s="285"/>
      <c r="L24" s="285"/>
      <c r="M24" s="285"/>
      <c r="N24" s="285"/>
      <c r="O24" s="285"/>
      <c r="P24" s="285"/>
      <c r="Q24" s="285"/>
      <c r="R24" s="285"/>
      <c r="S24" s="286"/>
    </row>
    <row r="25" spans="1:19" ht="4.5" customHeight="1">
      <c r="A25" s="534"/>
      <c r="B25" s="304"/>
      <c r="C25" s="304"/>
      <c r="D25" s="304"/>
      <c r="E25" s="285"/>
      <c r="F25" s="285"/>
      <c r="G25" s="285"/>
      <c r="H25" s="285"/>
      <c r="I25" s="285"/>
      <c r="J25" s="285"/>
      <c r="K25" s="285"/>
      <c r="L25" s="285"/>
      <c r="M25" s="285"/>
      <c r="N25" s="285"/>
      <c r="O25" s="285"/>
      <c r="P25" s="285"/>
      <c r="Q25" s="285"/>
      <c r="R25" s="285"/>
      <c r="S25" s="286"/>
    </row>
    <row r="26" spans="1:19" ht="16.5" customHeight="1">
      <c r="A26" s="534"/>
      <c r="B26" s="302" t="s">
        <v>382</v>
      </c>
      <c r="C26" s="305"/>
      <c r="D26" s="304"/>
      <c r="E26" s="285"/>
      <c r="F26" s="285"/>
      <c r="G26" s="285"/>
      <c r="H26" s="285"/>
      <c r="I26" s="285"/>
      <c r="J26" s="285"/>
      <c r="K26" s="285"/>
      <c r="L26" s="285"/>
      <c r="M26" s="285"/>
      <c r="N26" s="285"/>
      <c r="O26" s="285"/>
      <c r="P26" s="285"/>
      <c r="Q26" s="285"/>
      <c r="R26" s="285"/>
      <c r="S26" s="286"/>
    </row>
    <row r="27" spans="1:19" ht="16.5" customHeight="1">
      <c r="A27" s="534"/>
      <c r="B27" s="302" t="s">
        <v>383</v>
      </c>
      <c r="C27" s="305"/>
      <c r="D27" s="285"/>
      <c r="E27" s="302" t="s">
        <v>384</v>
      </c>
      <c r="F27" s="285"/>
      <c r="G27" s="285"/>
      <c r="H27" s="285"/>
      <c r="I27" s="285"/>
      <c r="J27" s="285"/>
      <c r="K27" s="285"/>
      <c r="L27" s="285"/>
      <c r="M27" s="285"/>
      <c r="N27" s="285"/>
      <c r="O27" s="285"/>
      <c r="P27" s="285"/>
      <c r="Q27" s="285"/>
      <c r="R27" s="285"/>
      <c r="S27" s="286"/>
    </row>
    <row r="28" spans="1:19" ht="4.5" customHeight="1">
      <c r="A28" s="296"/>
      <c r="B28" s="298"/>
      <c r="C28" s="306"/>
      <c r="D28" s="298"/>
      <c r="E28" s="298"/>
      <c r="F28" s="298"/>
      <c r="G28" s="298"/>
      <c r="H28" s="298"/>
      <c r="I28" s="298"/>
      <c r="J28" s="298"/>
      <c r="K28" s="298"/>
      <c r="L28" s="298"/>
      <c r="M28" s="298"/>
      <c r="N28" s="298"/>
      <c r="O28" s="298"/>
      <c r="P28" s="298"/>
      <c r="Q28" s="298"/>
      <c r="R28" s="298"/>
      <c r="S28" s="299"/>
    </row>
    <row r="29" spans="1:19" ht="4.5" customHeight="1">
      <c r="A29" s="300"/>
      <c r="B29" s="285"/>
      <c r="C29" s="285"/>
      <c r="D29" s="285"/>
      <c r="E29" s="285"/>
      <c r="F29" s="285"/>
      <c r="G29" s="285"/>
      <c r="H29" s="285"/>
      <c r="I29" s="285"/>
      <c r="J29" s="285"/>
      <c r="K29" s="285"/>
      <c r="L29" s="285"/>
      <c r="M29" s="285"/>
      <c r="N29" s="285"/>
      <c r="O29" s="285"/>
      <c r="P29" s="285"/>
      <c r="Q29" s="285"/>
      <c r="R29" s="285"/>
      <c r="S29" s="286"/>
    </row>
    <row r="30" spans="1:19" ht="16.5" customHeight="1">
      <c r="A30" s="534" t="s">
        <v>385</v>
      </c>
      <c r="B30" s="285" t="s">
        <v>386</v>
      </c>
      <c r="C30" s="285"/>
      <c r="D30" s="285"/>
      <c r="E30" s="285"/>
      <c r="F30" s="285"/>
      <c r="G30" s="285"/>
      <c r="H30" s="18"/>
      <c r="I30" s="302" t="s">
        <v>387</v>
      </c>
      <c r="J30" s="285"/>
      <c r="K30" s="18"/>
      <c r="L30" s="18"/>
      <c r="M30" s="302" t="s">
        <v>388</v>
      </c>
      <c r="N30" s="285"/>
      <c r="O30" s="285"/>
      <c r="P30" s="285"/>
      <c r="Q30" s="307" t="s">
        <v>389</v>
      </c>
      <c r="R30" s="285"/>
      <c r="S30" s="286"/>
    </row>
    <row r="31" spans="1:19" ht="16.5" customHeight="1">
      <c r="A31" s="534"/>
      <c r="B31" s="285" t="s">
        <v>390</v>
      </c>
      <c r="C31" s="285"/>
      <c r="D31" s="285"/>
      <c r="E31" s="285"/>
      <c r="F31" s="285"/>
      <c r="G31" s="287"/>
      <c r="H31" s="287"/>
      <c r="I31" s="287"/>
      <c r="J31" s="287"/>
      <c r="K31" s="287"/>
      <c r="L31" s="287"/>
      <c r="M31" s="287"/>
      <c r="N31" s="287"/>
      <c r="O31" s="287"/>
      <c r="P31" s="287"/>
      <c r="Q31" s="287"/>
      <c r="R31" s="287"/>
      <c r="S31" s="297"/>
    </row>
    <row r="32" spans="1:19" ht="16.5" customHeight="1">
      <c r="A32" s="534"/>
      <c r="B32" s="285"/>
      <c r="C32" s="287"/>
      <c r="D32" s="287"/>
      <c r="E32" s="287"/>
      <c r="F32" s="287"/>
      <c r="G32" s="308"/>
      <c r="H32" s="308"/>
      <c r="I32" s="308"/>
      <c r="J32" s="308"/>
      <c r="K32" s="308"/>
      <c r="L32" s="308"/>
      <c r="M32" s="308"/>
      <c r="N32" s="308"/>
      <c r="O32" s="308"/>
      <c r="P32" s="308"/>
      <c r="Q32" s="308"/>
      <c r="R32" s="308"/>
      <c r="S32" s="309"/>
    </row>
    <row r="33" spans="1:19" ht="16.5" customHeight="1">
      <c r="A33" s="534"/>
      <c r="B33" s="285"/>
      <c r="C33" s="308"/>
      <c r="D33" s="308"/>
      <c r="E33" s="308"/>
      <c r="F33" s="308"/>
      <c r="G33" s="308"/>
      <c r="H33" s="308"/>
      <c r="I33" s="308"/>
      <c r="J33" s="308"/>
      <c r="K33" s="308"/>
      <c r="L33" s="308"/>
      <c r="M33" s="308"/>
      <c r="N33" s="308"/>
      <c r="O33" s="308"/>
      <c r="P33" s="308"/>
      <c r="Q33" s="308"/>
      <c r="R33" s="308"/>
      <c r="S33" s="309"/>
    </row>
    <row r="34" spans="1:19" ht="16.5" customHeight="1">
      <c r="A34" s="534"/>
      <c r="B34" s="285" t="s">
        <v>391</v>
      </c>
      <c r="C34" s="285"/>
      <c r="D34" s="285"/>
      <c r="E34" s="285"/>
      <c r="F34" s="285"/>
      <c r="G34" s="285"/>
      <c r="H34" s="285"/>
      <c r="I34" s="285"/>
      <c r="J34" s="285"/>
      <c r="K34" s="285"/>
      <c r="L34" s="285"/>
      <c r="M34" s="285"/>
      <c r="N34" s="18"/>
      <c r="O34" s="18"/>
      <c r="P34" s="302" t="s">
        <v>376</v>
      </c>
      <c r="Q34" s="18"/>
      <c r="R34" s="302" t="s">
        <v>377</v>
      </c>
      <c r="S34" s="286"/>
    </row>
    <row r="35" spans="1:22" ht="16.5" customHeight="1">
      <c r="A35" s="534"/>
      <c r="B35" s="285"/>
      <c r="C35" s="285" t="s">
        <v>392</v>
      </c>
      <c r="D35" s="285"/>
      <c r="E35" s="285"/>
      <c r="F35" s="285"/>
      <c r="G35" s="285"/>
      <c r="H35" s="287"/>
      <c r="I35" s="287"/>
      <c r="J35" s="287"/>
      <c r="K35" s="287"/>
      <c r="L35" s="287"/>
      <c r="M35" s="287"/>
      <c r="N35" s="287"/>
      <c r="O35" s="287"/>
      <c r="P35" s="287"/>
      <c r="Q35" s="287"/>
      <c r="R35" s="287"/>
      <c r="S35" s="297"/>
      <c r="T35" s="285"/>
      <c r="U35" s="285"/>
      <c r="V35" s="285"/>
    </row>
    <row r="36" spans="1:22" ht="16.5" customHeight="1">
      <c r="A36" s="534"/>
      <c r="B36" s="285"/>
      <c r="C36" s="287"/>
      <c r="D36" s="287"/>
      <c r="E36" s="287"/>
      <c r="F36" s="287"/>
      <c r="G36" s="287"/>
      <c r="H36" s="287"/>
      <c r="I36" s="287"/>
      <c r="J36" s="287"/>
      <c r="K36" s="287"/>
      <c r="L36" s="287"/>
      <c r="M36" s="287"/>
      <c r="N36" s="287"/>
      <c r="O36" s="287"/>
      <c r="P36" s="287"/>
      <c r="Q36" s="287"/>
      <c r="R36" s="287"/>
      <c r="S36" s="297"/>
      <c r="T36" s="285"/>
      <c r="U36" s="285"/>
      <c r="V36" s="285"/>
    </row>
    <row r="37" spans="1:22" ht="4.5" customHeight="1">
      <c r="A37" s="534"/>
      <c r="B37" s="285"/>
      <c r="C37" s="285"/>
      <c r="D37" s="285"/>
      <c r="E37" s="285"/>
      <c r="F37" s="285"/>
      <c r="G37" s="285"/>
      <c r="H37" s="285"/>
      <c r="I37" s="285"/>
      <c r="J37" s="285"/>
      <c r="K37" s="285"/>
      <c r="L37" s="285"/>
      <c r="M37" s="285"/>
      <c r="N37" s="285"/>
      <c r="O37" s="285"/>
      <c r="P37" s="285"/>
      <c r="Q37" s="285"/>
      <c r="R37" s="285"/>
      <c r="S37" s="286"/>
      <c r="T37" s="285"/>
      <c r="U37" s="285"/>
      <c r="V37" s="285"/>
    </row>
    <row r="38" spans="1:19" ht="16.5" customHeight="1">
      <c r="A38" s="534"/>
      <c r="B38" s="285" t="s">
        <v>393</v>
      </c>
      <c r="C38" s="285"/>
      <c r="D38" s="285"/>
      <c r="E38" s="285"/>
      <c r="F38" s="285"/>
      <c r="G38" s="285"/>
      <c r="H38" s="285"/>
      <c r="I38" s="285"/>
      <c r="J38" s="18"/>
      <c r="K38" s="310"/>
      <c r="L38" s="311"/>
      <c r="M38" s="285"/>
      <c r="N38" s="285"/>
      <c r="O38" s="285"/>
      <c r="P38" s="285"/>
      <c r="Q38" s="285"/>
      <c r="R38" s="285"/>
      <c r="S38" s="286"/>
    </row>
    <row r="39" spans="1:19" ht="16.5" customHeight="1">
      <c r="A39" s="534"/>
      <c r="B39" s="285" t="s">
        <v>394</v>
      </c>
      <c r="C39" s="285"/>
      <c r="D39" s="285"/>
      <c r="E39" s="285"/>
      <c r="F39" s="285"/>
      <c r="G39" s="285"/>
      <c r="H39" s="285"/>
      <c r="I39" s="302" t="s">
        <v>376</v>
      </c>
      <c r="J39" s="285"/>
      <c r="K39" s="302" t="s">
        <v>395</v>
      </c>
      <c r="L39" s="285"/>
      <c r="M39" s="285"/>
      <c r="N39" s="307" t="s">
        <v>396</v>
      </c>
      <c r="O39" s="285"/>
      <c r="P39" s="285"/>
      <c r="Q39" s="285"/>
      <c r="R39" s="285"/>
      <c r="S39" s="286"/>
    </row>
    <row r="40" spans="1:19" ht="16.5" customHeight="1">
      <c r="A40" s="534"/>
      <c r="B40" s="285" t="s">
        <v>397</v>
      </c>
      <c r="C40" s="285"/>
      <c r="D40" s="285"/>
      <c r="E40" s="285"/>
      <c r="F40" s="285"/>
      <c r="G40" s="302" t="s">
        <v>398</v>
      </c>
      <c r="H40" s="285"/>
      <c r="I40" s="285"/>
      <c r="J40" s="285"/>
      <c r="K40" s="302" t="s">
        <v>399</v>
      </c>
      <c r="L40" s="285"/>
      <c r="M40" s="285"/>
      <c r="N40" s="285"/>
      <c r="O40" s="285"/>
      <c r="P40" s="285"/>
      <c r="Q40" s="302" t="s">
        <v>400</v>
      </c>
      <c r="R40" s="285"/>
      <c r="S40" s="286"/>
    </row>
    <row r="41" spans="1:19" ht="16.5" customHeight="1">
      <c r="A41" s="534"/>
      <c r="B41" s="285"/>
      <c r="C41" s="285"/>
      <c r="D41" s="285"/>
      <c r="E41" s="285"/>
      <c r="F41" s="285"/>
      <c r="G41" s="302" t="s">
        <v>401</v>
      </c>
      <c r="H41" s="285"/>
      <c r="I41" s="285"/>
      <c r="J41" s="285"/>
      <c r="K41" s="285"/>
      <c r="L41" s="285"/>
      <c r="M41" s="285"/>
      <c r="N41" s="285"/>
      <c r="O41" s="285"/>
      <c r="P41" s="285"/>
      <c r="Q41" s="285"/>
      <c r="R41" s="285"/>
      <c r="S41" s="286"/>
    </row>
    <row r="42" spans="1:19" ht="16.5" customHeight="1">
      <c r="A42" s="534"/>
      <c r="B42" s="285" t="s">
        <v>402</v>
      </c>
      <c r="C42" s="285"/>
      <c r="D42" s="285"/>
      <c r="E42" s="285"/>
      <c r="F42" s="285"/>
      <c r="G42" s="285"/>
      <c r="H42" s="285"/>
      <c r="I42" s="285"/>
      <c r="J42" s="285"/>
      <c r="K42" s="285"/>
      <c r="L42" s="285"/>
      <c r="M42" s="18"/>
      <c r="N42" s="18"/>
      <c r="O42" s="302" t="s">
        <v>376</v>
      </c>
      <c r="P42" s="18"/>
      <c r="Q42" s="307" t="s">
        <v>403</v>
      </c>
      <c r="R42" s="285"/>
      <c r="S42" s="286"/>
    </row>
    <row r="43" spans="1:19" ht="16.5" customHeight="1">
      <c r="A43" s="534"/>
      <c r="B43" s="285"/>
      <c r="C43" s="285"/>
      <c r="D43" s="285"/>
      <c r="E43" s="285"/>
      <c r="F43" s="312" t="s">
        <v>404</v>
      </c>
      <c r="G43" s="285"/>
      <c r="H43" s="287"/>
      <c r="I43" s="287"/>
      <c r="J43" s="287"/>
      <c r="K43" s="287"/>
      <c r="L43" s="287"/>
      <c r="M43" s="287"/>
      <c r="N43" s="287"/>
      <c r="O43" s="287"/>
      <c r="P43" s="287"/>
      <c r="Q43" s="287"/>
      <c r="R43" s="287"/>
      <c r="S43" s="297"/>
    </row>
    <row r="44" spans="1:19" ht="16.5" customHeight="1">
      <c r="A44" s="534"/>
      <c r="B44" s="285" t="s">
        <v>405</v>
      </c>
      <c r="C44" s="285"/>
      <c r="D44" s="285"/>
      <c r="E44" s="285"/>
      <c r="F44" s="285"/>
      <c r="G44" s="285"/>
      <c r="H44" s="285"/>
      <c r="I44" s="285"/>
      <c r="J44" s="285"/>
      <c r="K44" s="285"/>
      <c r="L44" s="285"/>
      <c r="M44" s="285"/>
      <c r="N44" s="285"/>
      <c r="O44" s="18"/>
      <c r="P44" s="18"/>
      <c r="Q44" s="302" t="s">
        <v>376</v>
      </c>
      <c r="R44" s="18"/>
      <c r="S44" s="313" t="s">
        <v>406</v>
      </c>
    </row>
    <row r="45" spans="1:19" ht="16.5" customHeight="1">
      <c r="A45" s="534"/>
      <c r="B45" s="285"/>
      <c r="C45" s="285"/>
      <c r="D45" s="285"/>
      <c r="E45" s="285"/>
      <c r="F45" s="312" t="s">
        <v>404</v>
      </c>
      <c r="G45" s="285"/>
      <c r="H45" s="287"/>
      <c r="I45" s="287"/>
      <c r="J45" s="287"/>
      <c r="K45" s="287"/>
      <c r="L45" s="287"/>
      <c r="M45" s="287"/>
      <c r="N45" s="287"/>
      <c r="O45" s="287"/>
      <c r="P45" s="287"/>
      <c r="Q45" s="287"/>
      <c r="R45" s="287"/>
      <c r="S45" s="297"/>
    </row>
    <row r="46" spans="1:19" ht="16.5" customHeight="1">
      <c r="A46" s="534"/>
      <c r="B46" s="285" t="s">
        <v>407</v>
      </c>
      <c r="C46" s="285"/>
      <c r="D46" s="285"/>
      <c r="E46" s="285"/>
      <c r="F46" s="285"/>
      <c r="G46" s="285"/>
      <c r="H46" s="285"/>
      <c r="I46" s="285"/>
      <c r="J46" s="285"/>
      <c r="K46" s="285"/>
      <c r="L46" s="285"/>
      <c r="M46" s="285"/>
      <c r="N46" s="18"/>
      <c r="O46" s="18"/>
      <c r="P46" s="302" t="s">
        <v>376</v>
      </c>
      <c r="Q46" s="18"/>
      <c r="R46" s="302" t="s">
        <v>377</v>
      </c>
      <c r="S46" s="314"/>
    </row>
    <row r="47" spans="1:19" ht="16.5" customHeight="1">
      <c r="A47" s="294"/>
      <c r="B47" s="285"/>
      <c r="C47" s="285"/>
      <c r="D47" s="285"/>
      <c r="E47" s="285"/>
      <c r="F47" s="312" t="s">
        <v>404</v>
      </c>
      <c r="G47" s="285"/>
      <c r="H47" s="287"/>
      <c r="I47" s="287"/>
      <c r="J47" s="287"/>
      <c r="K47" s="287"/>
      <c r="L47" s="287"/>
      <c r="M47" s="287"/>
      <c r="N47" s="287"/>
      <c r="O47" s="287"/>
      <c r="P47" s="287"/>
      <c r="Q47" s="287"/>
      <c r="R47" s="287"/>
      <c r="S47" s="297"/>
    </row>
    <row r="48" spans="1:19" ht="4.5" customHeight="1">
      <c r="A48" s="315"/>
      <c r="B48" s="298"/>
      <c r="C48" s="298"/>
      <c r="D48" s="298"/>
      <c r="E48" s="298"/>
      <c r="F48" s="298"/>
      <c r="G48" s="298"/>
      <c r="H48" s="298"/>
      <c r="I48" s="298"/>
      <c r="J48" s="298"/>
      <c r="K48" s="298"/>
      <c r="L48" s="298"/>
      <c r="M48" s="298"/>
      <c r="N48" s="298"/>
      <c r="O48" s="298"/>
      <c r="P48" s="298"/>
      <c r="Q48" s="298"/>
      <c r="R48" s="298"/>
      <c r="S48" s="299"/>
    </row>
    <row r="49" spans="1:19" ht="4.5" customHeight="1">
      <c r="A49" s="300"/>
      <c r="B49" s="285"/>
      <c r="C49" s="285"/>
      <c r="D49" s="285"/>
      <c r="E49" s="285"/>
      <c r="F49" s="285"/>
      <c r="G49" s="285"/>
      <c r="H49" s="285"/>
      <c r="I49" s="285"/>
      <c r="J49" s="285"/>
      <c r="K49" s="285"/>
      <c r="L49" s="285"/>
      <c r="M49" s="283"/>
      <c r="N49" s="285"/>
      <c r="O49" s="285"/>
      <c r="P49" s="285"/>
      <c r="Q49" s="285"/>
      <c r="R49" s="285"/>
      <c r="S49" s="286"/>
    </row>
    <row r="50" spans="1:19" ht="16.5" customHeight="1">
      <c r="A50" s="534" t="s">
        <v>408</v>
      </c>
      <c r="B50" s="285" t="s">
        <v>409</v>
      </c>
      <c r="C50" s="285"/>
      <c r="D50" s="285"/>
      <c r="E50" s="316" t="s">
        <v>410</v>
      </c>
      <c r="F50" s="305" t="s">
        <v>411</v>
      </c>
      <c r="G50" s="285"/>
      <c r="H50" s="285"/>
      <c r="I50" s="285"/>
      <c r="J50" s="285"/>
      <c r="K50" s="285"/>
      <c r="L50" s="285"/>
      <c r="M50" s="18"/>
      <c r="N50" s="18"/>
      <c r="O50" s="18"/>
      <c r="P50" s="18"/>
      <c r="Q50" s="18"/>
      <c r="R50" s="18"/>
      <c r="S50" s="227"/>
    </row>
    <row r="51" spans="1:19" ht="16.5" customHeight="1">
      <c r="A51" s="534"/>
      <c r="B51" s="285"/>
      <c r="C51" s="285"/>
      <c r="D51" s="285"/>
      <c r="E51" s="316" t="s">
        <v>410</v>
      </c>
      <c r="F51" s="305" t="s">
        <v>412</v>
      </c>
      <c r="G51" s="285"/>
      <c r="H51" s="285"/>
      <c r="I51" s="285"/>
      <c r="J51" s="285"/>
      <c r="K51" s="285"/>
      <c r="L51" s="285"/>
      <c r="M51" s="18"/>
      <c r="N51" s="18"/>
      <c r="O51" s="18"/>
      <c r="P51" s="18"/>
      <c r="Q51" s="18"/>
      <c r="R51" s="18"/>
      <c r="S51" s="227"/>
    </row>
    <row r="52" spans="1:19" ht="16.5" customHeight="1">
      <c r="A52" s="534"/>
      <c r="B52" s="285" t="s">
        <v>777</v>
      </c>
      <c r="C52" s="285"/>
      <c r="D52" s="285"/>
      <c r="E52" s="317" t="s">
        <v>410</v>
      </c>
      <c r="F52" s="318" t="s">
        <v>413</v>
      </c>
      <c r="G52" s="285"/>
      <c r="H52" s="285"/>
      <c r="I52" s="285"/>
      <c r="J52" s="285"/>
      <c r="K52" s="285"/>
      <c r="L52" s="285"/>
      <c r="M52" s="18"/>
      <c r="N52" s="18"/>
      <c r="O52" s="18"/>
      <c r="P52" s="18"/>
      <c r="Q52" s="18"/>
      <c r="R52" s="18"/>
      <c r="S52" s="227"/>
    </row>
    <row r="53" spans="1:19" ht="16.5" customHeight="1">
      <c r="A53" s="534"/>
      <c r="B53" s="285"/>
      <c r="C53" s="285"/>
      <c r="D53" s="285"/>
      <c r="E53" s="319" t="s">
        <v>410</v>
      </c>
      <c r="F53" s="320" t="s">
        <v>414</v>
      </c>
      <c r="G53" s="285"/>
      <c r="H53" s="285"/>
      <c r="I53" s="285"/>
      <c r="J53" s="285"/>
      <c r="K53" s="285"/>
      <c r="L53" s="285"/>
      <c r="M53" s="18"/>
      <c r="N53" s="18"/>
      <c r="O53" s="18"/>
      <c r="P53" s="18"/>
      <c r="Q53" s="18"/>
      <c r="R53" s="18"/>
      <c r="S53" s="227"/>
    </row>
    <row r="54" spans="1:19" ht="16.5" customHeight="1">
      <c r="A54" s="534"/>
      <c r="B54" s="285"/>
      <c r="C54" s="285"/>
      <c r="D54" s="285"/>
      <c r="E54" s="316" t="s">
        <v>410</v>
      </c>
      <c r="F54" s="285" t="s">
        <v>415</v>
      </c>
      <c r="G54" s="285"/>
      <c r="H54" s="285"/>
      <c r="I54" s="285"/>
      <c r="J54" s="285"/>
      <c r="K54" s="285"/>
      <c r="L54" s="285"/>
      <c r="M54" s="18"/>
      <c r="N54" s="18"/>
      <c r="O54" s="18"/>
      <c r="P54" s="18"/>
      <c r="Q54" s="18"/>
      <c r="R54" s="18"/>
      <c r="S54" s="227"/>
    </row>
    <row r="55" spans="1:19" ht="16.5" customHeight="1">
      <c r="A55" s="534"/>
      <c r="B55" s="285"/>
      <c r="C55" s="285"/>
      <c r="D55" s="285"/>
      <c r="E55" s="316" t="s">
        <v>410</v>
      </c>
      <c r="F55" s="285" t="s">
        <v>416</v>
      </c>
      <c r="G55" s="285"/>
      <c r="H55" s="285"/>
      <c r="I55" s="285"/>
      <c r="J55" s="285"/>
      <c r="K55" s="285"/>
      <c r="L55" s="285"/>
      <c r="M55" s="18"/>
      <c r="N55" s="18"/>
      <c r="O55" s="18"/>
      <c r="P55" s="18"/>
      <c r="Q55" s="18"/>
      <c r="R55" s="18"/>
      <c r="S55" s="227"/>
    </row>
    <row r="56" spans="1:19" ht="16.5" customHeight="1">
      <c r="A56" s="534"/>
      <c r="B56" s="285"/>
      <c r="C56" s="285"/>
      <c r="D56" s="285"/>
      <c r="E56" s="316" t="s">
        <v>410</v>
      </c>
      <c r="F56" s="285" t="s">
        <v>280</v>
      </c>
      <c r="G56" s="285"/>
      <c r="H56" s="285"/>
      <c r="I56" s="18"/>
      <c r="J56" s="321"/>
      <c r="K56" s="322"/>
      <c r="L56" s="190" t="s">
        <v>281</v>
      </c>
      <c r="M56" s="18"/>
      <c r="N56" s="18"/>
      <c r="O56" s="18"/>
      <c r="P56" s="18"/>
      <c r="Q56" s="18"/>
      <c r="R56" s="18"/>
      <c r="S56" s="227"/>
    </row>
    <row r="57" spans="1:19" ht="16.5" customHeight="1">
      <c r="A57" s="534"/>
      <c r="B57" s="305" t="s">
        <v>282</v>
      </c>
      <c r="C57" s="285"/>
      <c r="D57" s="285"/>
      <c r="E57" s="18"/>
      <c r="F57" s="18"/>
      <c r="G57" s="310"/>
      <c r="H57" s="311"/>
      <c r="I57" s="18"/>
      <c r="J57" s="285"/>
      <c r="K57" s="285"/>
      <c r="L57" s="285"/>
      <c r="M57" s="18"/>
      <c r="N57" s="18"/>
      <c r="O57" s="18"/>
      <c r="P57" s="18"/>
      <c r="Q57" s="18"/>
      <c r="R57" s="18"/>
      <c r="S57" s="227"/>
    </row>
    <row r="58" spans="1:19" ht="4.5" customHeight="1">
      <c r="A58" s="534"/>
      <c r="B58" s="285"/>
      <c r="C58" s="285"/>
      <c r="D58" s="285"/>
      <c r="E58" s="285"/>
      <c r="F58" s="285"/>
      <c r="G58" s="285"/>
      <c r="H58" s="285"/>
      <c r="I58" s="285"/>
      <c r="J58" s="285"/>
      <c r="K58" s="285"/>
      <c r="L58" s="285"/>
      <c r="M58" s="18"/>
      <c r="N58" s="18"/>
      <c r="O58" s="18"/>
      <c r="P58" s="18"/>
      <c r="Q58" s="18"/>
      <c r="R58" s="18"/>
      <c r="S58" s="227"/>
    </row>
    <row r="59" spans="1:19" ht="16.5" customHeight="1">
      <c r="A59" s="534"/>
      <c r="B59" s="285" t="s">
        <v>772</v>
      </c>
      <c r="C59" s="285"/>
      <c r="D59" s="285"/>
      <c r="E59" s="18"/>
      <c r="F59" s="323"/>
      <c r="G59" s="285" t="s">
        <v>283</v>
      </c>
      <c r="H59" s="285"/>
      <c r="I59" s="285"/>
      <c r="J59" s="285"/>
      <c r="K59" s="285"/>
      <c r="L59" s="285"/>
      <c r="M59" s="18"/>
      <c r="N59" s="18"/>
      <c r="O59" s="18"/>
      <c r="P59" s="18"/>
      <c r="Q59" s="18"/>
      <c r="R59" s="18"/>
      <c r="S59" s="227"/>
    </row>
    <row r="60" spans="1:19" ht="16.5" customHeight="1">
      <c r="A60" s="534"/>
      <c r="B60" s="285" t="s">
        <v>284</v>
      </c>
      <c r="C60" s="285"/>
      <c r="D60" s="285"/>
      <c r="E60" s="18"/>
      <c r="F60" s="324"/>
      <c r="G60" s="285" t="s">
        <v>283</v>
      </c>
      <c r="H60" s="285"/>
      <c r="I60" s="285"/>
      <c r="J60" s="285"/>
      <c r="K60" s="285"/>
      <c r="L60" s="285"/>
      <c r="M60" s="18"/>
      <c r="N60" s="18"/>
      <c r="O60" s="18"/>
      <c r="P60" s="18"/>
      <c r="Q60" s="18"/>
      <c r="R60" s="18"/>
      <c r="S60" s="227"/>
    </row>
    <row r="61" spans="1:19" ht="4.5" customHeight="1">
      <c r="A61" s="325"/>
      <c r="B61" s="298"/>
      <c r="C61" s="326"/>
      <c r="D61" s="298"/>
      <c r="E61" s="298"/>
      <c r="F61" s="298"/>
      <c r="G61" s="298"/>
      <c r="H61" s="298"/>
      <c r="I61" s="298"/>
      <c r="J61" s="298"/>
      <c r="K61" s="298"/>
      <c r="L61" s="298"/>
      <c r="M61" s="298"/>
      <c r="N61" s="298"/>
      <c r="O61" s="298"/>
      <c r="P61" s="298"/>
      <c r="Q61" s="298"/>
      <c r="R61" s="298"/>
      <c r="S61" s="299"/>
    </row>
    <row r="62" spans="1:19" ht="4.5" customHeight="1">
      <c r="A62" s="535" t="s">
        <v>664</v>
      </c>
      <c r="B62" s="327"/>
      <c r="C62" s="328"/>
      <c r="D62" s="283"/>
      <c r="E62" s="283"/>
      <c r="F62" s="283"/>
      <c r="G62" s="283"/>
      <c r="H62" s="283"/>
      <c r="I62" s="283"/>
      <c r="J62" s="283"/>
      <c r="K62" s="283"/>
      <c r="L62" s="283"/>
      <c r="M62" s="283"/>
      <c r="N62" s="283"/>
      <c r="O62" s="283"/>
      <c r="P62" s="283"/>
      <c r="Q62" s="283"/>
      <c r="R62" s="283"/>
      <c r="S62" s="284"/>
    </row>
    <row r="63" spans="1:19" ht="16.5" customHeight="1">
      <c r="A63" s="535"/>
      <c r="B63" s="302" t="s">
        <v>285</v>
      </c>
      <c r="C63" s="316"/>
      <c r="D63" s="285"/>
      <c r="E63" s="285"/>
      <c r="F63" s="302" t="s">
        <v>286</v>
      </c>
      <c r="G63" s="285"/>
      <c r="H63" s="285"/>
      <c r="I63" s="302" t="s">
        <v>287</v>
      </c>
      <c r="J63" s="285"/>
      <c r="K63" s="285"/>
      <c r="L63" s="285"/>
      <c r="M63" s="285"/>
      <c r="N63" s="285"/>
      <c r="O63" s="285"/>
      <c r="P63" s="285"/>
      <c r="Q63" s="285"/>
      <c r="R63" s="285"/>
      <c r="S63" s="286"/>
    </row>
    <row r="64" spans="1:19" ht="16.5" customHeight="1">
      <c r="A64" s="535"/>
      <c r="B64" s="302" t="s">
        <v>288</v>
      </c>
      <c r="C64" s="316"/>
      <c r="D64" s="285"/>
      <c r="E64" s="285"/>
      <c r="F64" s="285"/>
      <c r="G64" s="285"/>
      <c r="H64" s="285"/>
      <c r="I64" s="285"/>
      <c r="J64" s="285"/>
      <c r="K64" s="285"/>
      <c r="L64" s="329" t="s">
        <v>289</v>
      </c>
      <c r="M64" s="285"/>
      <c r="N64" s="285"/>
      <c r="O64" s="285"/>
      <c r="P64" s="285"/>
      <c r="Q64" s="291" t="s">
        <v>377</v>
      </c>
      <c r="R64" s="330" t="s">
        <v>290</v>
      </c>
      <c r="S64" s="286"/>
    </row>
    <row r="65" spans="1:19" ht="16.5" customHeight="1">
      <c r="A65" s="535"/>
      <c r="B65" s="285" t="s">
        <v>291</v>
      </c>
      <c r="C65" s="285"/>
      <c r="D65" s="285"/>
      <c r="E65" s="285"/>
      <c r="F65" s="285"/>
      <c r="G65" s="285"/>
      <c r="H65" s="285"/>
      <c r="I65" s="18"/>
      <c r="J65" s="301"/>
      <c r="K65" s="285" t="s">
        <v>292</v>
      </c>
      <c r="L65" s="329" t="s">
        <v>293</v>
      </c>
      <c r="M65" s="285"/>
      <c r="N65" s="285"/>
      <c r="O65" s="285"/>
      <c r="P65" s="285"/>
      <c r="Q65" s="291" t="s">
        <v>377</v>
      </c>
      <c r="R65" s="330" t="s">
        <v>290</v>
      </c>
      <c r="S65" s="286"/>
    </row>
    <row r="66" spans="1:19" ht="16.5" customHeight="1">
      <c r="A66" s="535"/>
      <c r="B66" s="285" t="s">
        <v>294</v>
      </c>
      <c r="C66" s="285"/>
      <c r="D66" s="285"/>
      <c r="E66" s="18"/>
      <c r="F66" s="18"/>
      <c r="G66" s="285"/>
      <c r="H66" s="285"/>
      <c r="I66" s="331" t="s">
        <v>295</v>
      </c>
      <c r="J66" s="301"/>
      <c r="K66" s="285" t="s">
        <v>292</v>
      </c>
      <c r="L66" s="285"/>
      <c r="M66" s="331" t="s">
        <v>296</v>
      </c>
      <c r="N66" s="301"/>
      <c r="O66" s="285" t="s">
        <v>292</v>
      </c>
      <c r="P66" s="190" t="s">
        <v>297</v>
      </c>
      <c r="Q66" s="190"/>
      <c r="R66" s="332"/>
      <c r="S66" s="227" t="s">
        <v>298</v>
      </c>
    </row>
    <row r="67" spans="1:19" ht="4.5" customHeight="1">
      <c r="A67" s="535"/>
      <c r="B67" s="333"/>
      <c r="C67" s="326"/>
      <c r="D67" s="298"/>
      <c r="E67" s="298"/>
      <c r="F67" s="298"/>
      <c r="G67" s="298"/>
      <c r="H67" s="298"/>
      <c r="I67" s="298"/>
      <c r="J67" s="298"/>
      <c r="K67" s="298"/>
      <c r="L67" s="298"/>
      <c r="M67" s="298"/>
      <c r="N67" s="298"/>
      <c r="O67" s="298"/>
      <c r="P67" s="298"/>
      <c r="Q67" s="298"/>
      <c r="R67" s="298"/>
      <c r="S67" s="299"/>
    </row>
    <row r="68" spans="1:19" ht="4.5" customHeight="1">
      <c r="A68" s="334"/>
      <c r="B68" s="283"/>
      <c r="C68" s="328"/>
      <c r="D68" s="283"/>
      <c r="E68" s="283"/>
      <c r="F68" s="283"/>
      <c r="G68" s="283"/>
      <c r="H68" s="283"/>
      <c r="I68" s="283"/>
      <c r="J68" s="283"/>
      <c r="K68" s="283"/>
      <c r="L68" s="283"/>
      <c r="M68" s="283"/>
      <c r="N68" s="283"/>
      <c r="O68" s="283"/>
      <c r="P68" s="283"/>
      <c r="Q68" s="283"/>
      <c r="R68" s="283"/>
      <c r="S68" s="283"/>
    </row>
    <row r="69" spans="1:19" ht="4.5" customHeight="1">
      <c r="A69" s="335"/>
      <c r="B69" s="298"/>
      <c r="C69" s="326"/>
      <c r="D69" s="298"/>
      <c r="E69" s="298"/>
      <c r="F69" s="298"/>
      <c r="G69" s="298"/>
      <c r="H69" s="298"/>
      <c r="I69" s="298"/>
      <c r="J69" s="298"/>
      <c r="K69" s="298"/>
      <c r="L69" s="298"/>
      <c r="M69" s="298"/>
      <c r="N69" s="298"/>
      <c r="O69" s="298"/>
      <c r="P69" s="298"/>
      <c r="Q69" s="298"/>
      <c r="R69" s="298"/>
      <c r="S69" s="298"/>
    </row>
    <row r="70" spans="1:19" ht="4.5" customHeight="1">
      <c r="A70" s="535" t="s">
        <v>664</v>
      </c>
      <c r="B70" s="336"/>
      <c r="C70" s="328"/>
      <c r="D70" s="283"/>
      <c r="E70" s="283"/>
      <c r="F70" s="283"/>
      <c r="G70" s="283"/>
      <c r="H70" s="283"/>
      <c r="I70" s="283"/>
      <c r="J70" s="283"/>
      <c r="K70" s="283"/>
      <c r="L70" s="283"/>
      <c r="M70" s="283"/>
      <c r="N70" s="283"/>
      <c r="O70" s="283"/>
      <c r="P70" s="283"/>
      <c r="Q70" s="283"/>
      <c r="R70" s="283"/>
      <c r="S70" s="284"/>
    </row>
    <row r="71" spans="1:19" ht="16.5" customHeight="1">
      <c r="A71" s="535"/>
      <c r="B71" s="534" t="s">
        <v>299</v>
      </c>
      <c r="C71" s="302" t="s">
        <v>300</v>
      </c>
      <c r="D71" s="285"/>
      <c r="E71" s="285"/>
      <c r="F71" s="302" t="s">
        <v>301</v>
      </c>
      <c r="G71" s="285"/>
      <c r="H71" s="302" t="s">
        <v>302</v>
      </c>
      <c r="I71" s="285"/>
      <c r="J71" s="302" t="s">
        <v>303</v>
      </c>
      <c r="K71" s="285"/>
      <c r="L71" s="302" t="s">
        <v>304</v>
      </c>
      <c r="M71" s="285"/>
      <c r="N71" s="302" t="s">
        <v>305</v>
      </c>
      <c r="O71" s="285"/>
      <c r="P71" s="285"/>
      <c r="Q71" s="285"/>
      <c r="R71" s="285"/>
      <c r="S71" s="286"/>
    </row>
    <row r="72" spans="1:19" ht="16.5" customHeight="1">
      <c r="A72" s="535"/>
      <c r="B72" s="535"/>
      <c r="C72" s="316"/>
      <c r="D72" s="285"/>
      <c r="E72" s="307" t="s">
        <v>306</v>
      </c>
      <c r="F72" s="305"/>
      <c r="G72" s="302" t="s">
        <v>307</v>
      </c>
      <c r="H72" s="305"/>
      <c r="I72" s="302" t="s">
        <v>308</v>
      </c>
      <c r="J72" s="305"/>
      <c r="K72" s="337" t="s">
        <v>309</v>
      </c>
      <c r="L72" s="305"/>
      <c r="M72" s="285"/>
      <c r="N72" s="307" t="s">
        <v>310</v>
      </c>
      <c r="O72" s="285"/>
      <c r="P72" s="285"/>
      <c r="Q72" s="285"/>
      <c r="R72" s="285"/>
      <c r="S72" s="286"/>
    </row>
    <row r="73" spans="1:19" ht="16.5" customHeight="1">
      <c r="A73" s="535"/>
      <c r="B73" s="535"/>
      <c r="C73" s="316"/>
      <c r="D73" s="285"/>
      <c r="E73" s="307" t="s">
        <v>311</v>
      </c>
      <c r="F73" s="285"/>
      <c r="G73" s="285"/>
      <c r="H73" s="285"/>
      <c r="I73" s="285"/>
      <c r="J73" s="285"/>
      <c r="K73" s="285"/>
      <c r="L73" s="285"/>
      <c r="M73" s="285"/>
      <c r="N73" s="285"/>
      <c r="O73" s="285"/>
      <c r="P73" s="285"/>
      <c r="Q73" s="285"/>
      <c r="R73" s="285"/>
      <c r="S73" s="286"/>
    </row>
    <row r="74" spans="1:19" ht="16.5" customHeight="1">
      <c r="A74" s="535"/>
      <c r="B74" s="535"/>
      <c r="C74" s="316"/>
      <c r="D74" s="285"/>
      <c r="E74" s="338" t="s">
        <v>312</v>
      </c>
      <c r="F74" s="305"/>
      <c r="G74" s="285"/>
      <c r="H74" s="302" t="s">
        <v>313</v>
      </c>
      <c r="I74" s="285"/>
      <c r="J74" s="302" t="s">
        <v>314</v>
      </c>
      <c r="K74" s="285"/>
      <c r="L74" s="18"/>
      <c r="M74" s="307" t="s">
        <v>315</v>
      </c>
      <c r="N74" s="285"/>
      <c r="O74" s="285"/>
      <c r="P74" s="285"/>
      <c r="Q74" s="307"/>
      <c r="R74" s="285"/>
      <c r="S74" s="286"/>
    </row>
    <row r="75" spans="1:19" ht="16.5" customHeight="1">
      <c r="A75" s="535"/>
      <c r="B75" s="535"/>
      <c r="C75" s="316"/>
      <c r="D75" s="285"/>
      <c r="E75" s="285" t="s">
        <v>316</v>
      </c>
      <c r="F75" s="285"/>
      <c r="G75" s="307" t="s">
        <v>317</v>
      </c>
      <c r="H75" s="285"/>
      <c r="I75" s="18"/>
      <c r="J75" s="18"/>
      <c r="K75" s="18"/>
      <c r="L75" s="18"/>
      <c r="M75" s="18"/>
      <c r="N75" s="18"/>
      <c r="O75" s="18"/>
      <c r="P75" s="18"/>
      <c r="Q75" s="18"/>
      <c r="R75" s="285"/>
      <c r="S75" s="286"/>
    </row>
    <row r="76" spans="1:19" ht="16.5" customHeight="1">
      <c r="A76" s="535"/>
      <c r="B76" s="535"/>
      <c r="C76" s="316"/>
      <c r="D76" s="285"/>
      <c r="E76" s="285"/>
      <c r="F76" s="285"/>
      <c r="G76" s="302" t="s">
        <v>318</v>
      </c>
      <c r="H76" s="285"/>
      <c r="I76" s="18"/>
      <c r="J76" s="302" t="s">
        <v>319</v>
      </c>
      <c r="K76" s="285"/>
      <c r="L76" s="285"/>
      <c r="M76" s="285"/>
      <c r="N76" s="285"/>
      <c r="O76" s="302" t="s">
        <v>320</v>
      </c>
      <c r="P76" s="285"/>
      <c r="Q76" s="285"/>
      <c r="R76" s="285"/>
      <c r="S76" s="286"/>
    </row>
    <row r="77" spans="1:19" ht="16.5" customHeight="1">
      <c r="A77" s="535"/>
      <c r="B77" s="535"/>
      <c r="C77" s="316"/>
      <c r="D77" s="285"/>
      <c r="E77" s="285"/>
      <c r="F77" s="285"/>
      <c r="G77" s="18"/>
      <c r="H77" s="302" t="s">
        <v>321</v>
      </c>
      <c r="I77" s="285"/>
      <c r="J77" s="285"/>
      <c r="K77" s="285"/>
      <c r="L77" s="337" t="s">
        <v>322</v>
      </c>
      <c r="M77" s="285"/>
      <c r="N77" s="285"/>
      <c r="O77" s="285"/>
      <c r="P77" s="285"/>
      <c r="Q77" s="307" t="s">
        <v>323</v>
      </c>
      <c r="R77" s="285"/>
      <c r="S77" s="286"/>
    </row>
    <row r="78" spans="1:19" ht="16.5" customHeight="1">
      <c r="A78" s="535"/>
      <c r="B78" s="535"/>
      <c r="C78" s="316"/>
      <c r="D78" s="285"/>
      <c r="E78" s="307" t="s">
        <v>324</v>
      </c>
      <c r="F78" s="285"/>
      <c r="G78" s="285"/>
      <c r="H78" s="285"/>
      <c r="I78" s="285"/>
      <c r="J78" s="285"/>
      <c r="K78" s="285"/>
      <c r="L78" s="285"/>
      <c r="M78" s="285"/>
      <c r="N78" s="285"/>
      <c r="O78" s="285"/>
      <c r="P78" s="285"/>
      <c r="Q78" s="285"/>
      <c r="R78" s="285"/>
      <c r="S78" s="286"/>
    </row>
    <row r="79" spans="1:19" ht="16.5" customHeight="1">
      <c r="A79" s="535"/>
      <c r="B79" s="535"/>
      <c r="C79" s="316"/>
      <c r="D79" s="285"/>
      <c r="E79" s="307" t="s">
        <v>325</v>
      </c>
      <c r="F79" s="285"/>
      <c r="G79" s="285"/>
      <c r="H79" s="285"/>
      <c r="I79" s="285"/>
      <c r="J79" s="285"/>
      <c r="K79" s="285"/>
      <c r="L79" s="285"/>
      <c r="M79" s="285"/>
      <c r="N79" s="285"/>
      <c r="O79" s="285"/>
      <c r="P79" s="285"/>
      <c r="Q79" s="285"/>
      <c r="R79" s="285"/>
      <c r="S79" s="286"/>
    </row>
    <row r="80" spans="1:19" ht="16.5" customHeight="1">
      <c r="A80" s="535"/>
      <c r="B80" s="535"/>
      <c r="C80" s="307" t="s">
        <v>326</v>
      </c>
      <c r="D80" s="285"/>
      <c r="E80" s="285"/>
      <c r="F80" s="285"/>
      <c r="G80" s="285"/>
      <c r="H80" s="285"/>
      <c r="I80" s="285"/>
      <c r="J80" s="285"/>
      <c r="K80" s="285"/>
      <c r="L80" s="285"/>
      <c r="M80" s="285"/>
      <c r="N80" s="285"/>
      <c r="O80" s="285"/>
      <c r="P80" s="285"/>
      <c r="Q80" s="285"/>
      <c r="R80" s="285"/>
      <c r="S80" s="286"/>
    </row>
    <row r="81" spans="1:19" ht="16.5" customHeight="1">
      <c r="A81" s="535"/>
      <c r="B81" s="535"/>
      <c r="C81" s="302" t="s">
        <v>327</v>
      </c>
      <c r="D81" s="285"/>
      <c r="E81" s="285"/>
      <c r="F81" s="307" t="s">
        <v>328</v>
      </c>
      <c r="G81" s="305"/>
      <c r="H81" s="302" t="s">
        <v>308</v>
      </c>
      <c r="I81" s="305"/>
      <c r="J81" s="337" t="s">
        <v>309</v>
      </c>
      <c r="K81" s="285"/>
      <c r="L81" s="285"/>
      <c r="M81" s="285"/>
      <c r="N81" s="285"/>
      <c r="O81" s="285"/>
      <c r="P81" s="285"/>
      <c r="Q81" s="285"/>
      <c r="R81" s="285"/>
      <c r="S81" s="286"/>
    </row>
    <row r="82" spans="1:19" ht="16.5" customHeight="1">
      <c r="A82" s="535"/>
      <c r="B82" s="535"/>
      <c r="C82" s="285"/>
      <c r="D82" s="285"/>
      <c r="E82" s="305"/>
      <c r="F82" s="285"/>
      <c r="G82" s="339" t="s">
        <v>329</v>
      </c>
      <c r="H82" s="302" t="s">
        <v>313</v>
      </c>
      <c r="I82" s="285"/>
      <c r="J82" s="302" t="s">
        <v>314</v>
      </c>
      <c r="K82" s="285"/>
      <c r="L82" s="307" t="s">
        <v>315</v>
      </c>
      <c r="M82" s="285"/>
      <c r="N82" s="285"/>
      <c r="O82" s="285"/>
      <c r="P82" s="285"/>
      <c r="Q82" s="285"/>
      <c r="R82" s="285"/>
      <c r="S82" s="286"/>
    </row>
    <row r="83" spans="1:19" ht="16.5" customHeight="1">
      <c r="A83" s="535"/>
      <c r="B83" s="535"/>
      <c r="C83" s="337" t="s">
        <v>330</v>
      </c>
      <c r="D83" s="285"/>
      <c r="E83" s="285"/>
      <c r="F83" s="285"/>
      <c r="G83" s="307" t="s">
        <v>331</v>
      </c>
      <c r="H83" s="305"/>
      <c r="I83" s="285"/>
      <c r="J83" s="302" t="s">
        <v>332</v>
      </c>
      <c r="K83" s="285"/>
      <c r="L83" s="285"/>
      <c r="M83" s="285"/>
      <c r="N83" s="302" t="s">
        <v>333</v>
      </c>
      <c r="O83" s="285"/>
      <c r="P83" s="285"/>
      <c r="Q83" s="285"/>
      <c r="R83" s="302" t="s">
        <v>334</v>
      </c>
      <c r="S83" s="286"/>
    </row>
    <row r="84" spans="1:19" ht="4.5" customHeight="1">
      <c r="A84" s="535"/>
      <c r="B84" s="315"/>
      <c r="C84" s="298"/>
      <c r="D84" s="298"/>
      <c r="E84" s="298"/>
      <c r="F84" s="298"/>
      <c r="G84" s="298"/>
      <c r="H84" s="298"/>
      <c r="I84" s="298"/>
      <c r="J84" s="298"/>
      <c r="K84" s="298"/>
      <c r="L84" s="298"/>
      <c r="M84" s="298"/>
      <c r="N84" s="298"/>
      <c r="O84" s="298"/>
      <c r="P84" s="298"/>
      <c r="Q84" s="298"/>
      <c r="R84" s="298"/>
      <c r="S84" s="299"/>
    </row>
    <row r="85" spans="1:19" ht="4.5" customHeight="1">
      <c r="A85" s="535"/>
      <c r="B85" s="336"/>
      <c r="C85" s="285"/>
      <c r="D85" s="285"/>
      <c r="E85" s="285"/>
      <c r="F85" s="285"/>
      <c r="G85" s="285"/>
      <c r="H85" s="285"/>
      <c r="I85" s="285"/>
      <c r="J85" s="285"/>
      <c r="K85" s="285"/>
      <c r="L85" s="285"/>
      <c r="M85" s="285"/>
      <c r="N85" s="285"/>
      <c r="O85" s="285"/>
      <c r="P85" s="285"/>
      <c r="Q85" s="285"/>
      <c r="R85" s="285"/>
      <c r="S85" s="286"/>
    </row>
    <row r="86" spans="1:19" ht="16.5" customHeight="1">
      <c r="A86" s="535"/>
      <c r="B86" s="534" t="s">
        <v>335</v>
      </c>
      <c r="C86" s="337" t="s">
        <v>336</v>
      </c>
      <c r="D86" s="285"/>
      <c r="E86" s="285"/>
      <c r="F86" s="285"/>
      <c r="G86" s="285"/>
      <c r="H86" s="285"/>
      <c r="I86" s="285"/>
      <c r="J86" s="285"/>
      <c r="K86" s="285"/>
      <c r="L86" s="285"/>
      <c r="M86" s="285"/>
      <c r="N86" s="285"/>
      <c r="O86" s="285"/>
      <c r="P86" s="305"/>
      <c r="Q86" s="285"/>
      <c r="R86" s="285"/>
      <c r="S86" s="286"/>
    </row>
    <row r="87" spans="1:19" ht="16.5" customHeight="1">
      <c r="A87" s="535"/>
      <c r="B87" s="535"/>
      <c r="C87" s="302" t="s">
        <v>327</v>
      </c>
      <c r="D87" s="285"/>
      <c r="E87" s="285"/>
      <c r="F87" s="337" t="s">
        <v>337</v>
      </c>
      <c r="G87" s="305"/>
      <c r="H87" s="302" t="s">
        <v>308</v>
      </c>
      <c r="I87" s="305"/>
      <c r="J87" s="302" t="s">
        <v>338</v>
      </c>
      <c r="K87" s="285"/>
      <c r="L87" s="285"/>
      <c r="M87" s="285"/>
      <c r="N87" s="285"/>
      <c r="O87" s="285"/>
      <c r="P87" s="305"/>
      <c r="Q87" s="285"/>
      <c r="R87" s="285"/>
      <c r="S87" s="286"/>
    </row>
    <row r="88" spans="1:19" ht="16.5" customHeight="1">
      <c r="A88" s="535"/>
      <c r="B88" s="535"/>
      <c r="C88" s="285"/>
      <c r="D88" s="285"/>
      <c r="E88" s="305"/>
      <c r="F88" s="285"/>
      <c r="G88" s="339" t="s">
        <v>329</v>
      </c>
      <c r="H88" s="302" t="s">
        <v>313</v>
      </c>
      <c r="I88" s="285"/>
      <c r="J88" s="302" t="s">
        <v>314</v>
      </c>
      <c r="K88" s="285"/>
      <c r="L88" s="18"/>
      <c r="M88" s="307" t="s">
        <v>315</v>
      </c>
      <c r="N88" s="285"/>
      <c r="O88" s="285"/>
      <c r="P88" s="305"/>
      <c r="Q88" s="285"/>
      <c r="R88" s="285"/>
      <c r="S88" s="286"/>
    </row>
    <row r="89" spans="1:19" ht="16.5" customHeight="1">
      <c r="A89" s="535"/>
      <c r="B89" s="535"/>
      <c r="C89" s="340" t="s">
        <v>339</v>
      </c>
      <c r="D89" s="285"/>
      <c r="E89" s="285"/>
      <c r="F89" s="285"/>
      <c r="G89" s="337" t="s">
        <v>340</v>
      </c>
      <c r="H89" s="305"/>
      <c r="I89" s="285"/>
      <c r="J89" s="302" t="s">
        <v>341</v>
      </c>
      <c r="K89" s="285"/>
      <c r="L89" s="285"/>
      <c r="M89" s="302" t="s">
        <v>342</v>
      </c>
      <c r="N89" s="18"/>
      <c r="P89" s="307" t="s">
        <v>343</v>
      </c>
      <c r="Q89" s="285"/>
      <c r="R89" s="285"/>
      <c r="S89" s="286"/>
    </row>
    <row r="90" spans="1:19" ht="16.5" customHeight="1">
      <c r="A90" s="535"/>
      <c r="B90" s="535"/>
      <c r="C90" s="341" t="s">
        <v>344</v>
      </c>
      <c r="D90" s="285"/>
      <c r="E90" s="285"/>
      <c r="F90" s="285"/>
      <c r="G90" s="285"/>
      <c r="H90" s="285"/>
      <c r="I90" s="285"/>
      <c r="J90" s="285"/>
      <c r="K90" s="285"/>
      <c r="L90" s="285"/>
      <c r="M90" s="285"/>
      <c r="N90" s="285"/>
      <c r="O90" s="285"/>
      <c r="P90" s="305"/>
      <c r="Q90" s="285"/>
      <c r="R90" s="285"/>
      <c r="S90" s="286"/>
    </row>
    <row r="91" spans="1:19" ht="16.5" customHeight="1">
      <c r="A91" s="535"/>
      <c r="B91" s="535"/>
      <c r="C91" s="341" t="s">
        <v>345</v>
      </c>
      <c r="D91" s="285"/>
      <c r="E91" s="285"/>
      <c r="F91" s="305"/>
      <c r="G91" s="285"/>
      <c r="H91" s="285"/>
      <c r="I91" s="285"/>
      <c r="J91" s="285"/>
      <c r="K91" s="285"/>
      <c r="L91" s="285"/>
      <c r="M91" s="285"/>
      <c r="N91" s="285"/>
      <c r="O91" s="285"/>
      <c r="P91" s="305"/>
      <c r="Q91" s="285"/>
      <c r="R91" s="285"/>
      <c r="S91" s="286"/>
    </row>
    <row r="92" spans="1:19" ht="16.5" customHeight="1">
      <c r="A92" s="535"/>
      <c r="B92" s="535"/>
      <c r="C92" s="305" t="s">
        <v>346</v>
      </c>
      <c r="D92" s="285"/>
      <c r="E92" s="285"/>
      <c r="F92" s="285"/>
      <c r="G92" s="302" t="s">
        <v>347</v>
      </c>
      <c r="H92" s="285"/>
      <c r="I92" s="285"/>
      <c r="J92" s="18"/>
      <c r="K92" s="337" t="s">
        <v>348</v>
      </c>
      <c r="L92" s="305"/>
      <c r="M92" s="285"/>
      <c r="N92" s="18"/>
      <c r="O92" s="307" t="s">
        <v>349</v>
      </c>
      <c r="P92" s="285"/>
      <c r="Q92" s="285"/>
      <c r="R92" s="285"/>
      <c r="S92" s="286"/>
    </row>
    <row r="93" spans="1:19" ht="4.5" customHeight="1">
      <c r="A93" s="535"/>
      <c r="B93" s="315"/>
      <c r="C93" s="306"/>
      <c r="D93" s="298"/>
      <c r="E93" s="298"/>
      <c r="F93" s="298"/>
      <c r="G93" s="298"/>
      <c r="H93" s="298"/>
      <c r="I93" s="298"/>
      <c r="J93" s="342"/>
      <c r="K93" s="306"/>
      <c r="L93" s="298"/>
      <c r="M93" s="342"/>
      <c r="N93" s="298"/>
      <c r="O93" s="298"/>
      <c r="P93" s="298"/>
      <c r="Q93" s="298"/>
      <c r="R93" s="298"/>
      <c r="S93" s="299"/>
    </row>
    <row r="94" spans="1:19" ht="4.5" customHeight="1">
      <c r="A94" s="535"/>
      <c r="B94" s="300"/>
      <c r="C94" s="305"/>
      <c r="D94" s="285"/>
      <c r="E94" s="285"/>
      <c r="F94" s="285"/>
      <c r="G94" s="285"/>
      <c r="H94" s="285"/>
      <c r="I94" s="285"/>
      <c r="J94" s="329"/>
      <c r="K94" s="305"/>
      <c r="L94" s="285"/>
      <c r="M94" s="329"/>
      <c r="N94" s="285"/>
      <c r="O94" s="285"/>
      <c r="P94" s="285"/>
      <c r="Q94" s="285"/>
      <c r="R94" s="285"/>
      <c r="S94" s="286"/>
    </row>
    <row r="95" spans="1:33" ht="16.5" customHeight="1">
      <c r="A95" s="535"/>
      <c r="B95" s="534" t="s">
        <v>350</v>
      </c>
      <c r="C95" s="337" t="s">
        <v>336</v>
      </c>
      <c r="D95" s="285"/>
      <c r="E95" s="285"/>
      <c r="F95" s="285"/>
      <c r="G95" s="285"/>
      <c r="H95" s="285"/>
      <c r="I95" s="285"/>
      <c r="J95" s="285"/>
      <c r="K95" s="285"/>
      <c r="L95" s="285"/>
      <c r="M95" s="285"/>
      <c r="N95" s="285"/>
      <c r="O95" s="285"/>
      <c r="P95" s="305"/>
      <c r="Q95" s="285"/>
      <c r="R95" s="285"/>
      <c r="S95" s="286"/>
      <c r="T95" s="343"/>
      <c r="U95" s="343"/>
      <c r="AF95" s="18"/>
      <c r="AG95" s="227"/>
    </row>
    <row r="96" spans="1:19" ht="16.5" customHeight="1">
      <c r="A96" s="535"/>
      <c r="B96" s="535"/>
      <c r="C96" s="302" t="s">
        <v>327</v>
      </c>
      <c r="D96" s="285"/>
      <c r="E96" s="285"/>
      <c r="F96" s="337" t="s">
        <v>337</v>
      </c>
      <c r="G96" s="305"/>
      <c r="H96" s="302" t="s">
        <v>308</v>
      </c>
      <c r="I96" s="305"/>
      <c r="J96" s="302" t="s">
        <v>338</v>
      </c>
      <c r="K96" s="285"/>
      <c r="L96" s="285"/>
      <c r="M96" s="285"/>
      <c r="N96" s="285"/>
      <c r="O96" s="285"/>
      <c r="P96" s="305"/>
      <c r="Q96" s="285"/>
      <c r="R96" s="285"/>
      <c r="S96" s="286"/>
    </row>
    <row r="97" spans="1:19" ht="16.5" customHeight="1">
      <c r="A97" s="535"/>
      <c r="B97" s="535"/>
      <c r="C97" s="285"/>
      <c r="D97" s="285"/>
      <c r="E97" s="305"/>
      <c r="F97" s="285"/>
      <c r="G97" s="339" t="s">
        <v>329</v>
      </c>
      <c r="H97" s="302" t="s">
        <v>313</v>
      </c>
      <c r="I97" s="285"/>
      <c r="J97" s="302" t="s">
        <v>314</v>
      </c>
      <c r="K97" s="285"/>
      <c r="L97" s="18"/>
      <c r="M97" s="307" t="s">
        <v>315</v>
      </c>
      <c r="N97" s="285"/>
      <c r="O97" s="285"/>
      <c r="P97" s="305"/>
      <c r="Q97" s="285"/>
      <c r="R97" s="285"/>
      <c r="S97" s="286"/>
    </row>
    <row r="98" spans="1:19" ht="16.5" customHeight="1">
      <c r="A98" s="535"/>
      <c r="B98" s="535"/>
      <c r="C98" s="340" t="s">
        <v>339</v>
      </c>
      <c r="D98" s="285"/>
      <c r="E98" s="285"/>
      <c r="F98" s="285"/>
      <c r="G98" s="337" t="s">
        <v>340</v>
      </c>
      <c r="H98" s="305"/>
      <c r="I98" s="285"/>
      <c r="J98" s="302" t="s">
        <v>341</v>
      </c>
      <c r="K98" s="285"/>
      <c r="L98" s="285"/>
      <c r="M98" s="302" t="s">
        <v>342</v>
      </c>
      <c r="N98" s="18"/>
      <c r="P98" s="307" t="s">
        <v>343</v>
      </c>
      <c r="Q98" s="285"/>
      <c r="R98" s="285"/>
      <c r="S98" s="286"/>
    </row>
    <row r="99" spans="1:19" ht="16.5" customHeight="1">
      <c r="A99" s="535"/>
      <c r="B99" s="535"/>
      <c r="C99" s="341" t="s">
        <v>344</v>
      </c>
      <c r="D99" s="285"/>
      <c r="E99" s="285"/>
      <c r="F99" s="285"/>
      <c r="G99" s="285"/>
      <c r="H99" s="285"/>
      <c r="I99" s="285"/>
      <c r="J99" s="285"/>
      <c r="K99" s="285"/>
      <c r="L99" s="285"/>
      <c r="M99" s="285"/>
      <c r="N99" s="285"/>
      <c r="O99" s="285"/>
      <c r="P99" s="305"/>
      <c r="Q99" s="285"/>
      <c r="R99" s="285"/>
      <c r="S99" s="286"/>
    </row>
    <row r="100" spans="1:19" ht="16.5" customHeight="1">
      <c r="A100" s="535"/>
      <c r="B100" s="535"/>
      <c r="C100" s="341" t="s">
        <v>345</v>
      </c>
      <c r="D100" s="285"/>
      <c r="E100" s="285"/>
      <c r="F100" s="305"/>
      <c r="G100" s="285"/>
      <c r="H100" s="285"/>
      <c r="I100" s="285"/>
      <c r="J100" s="285"/>
      <c r="K100" s="285"/>
      <c r="L100" s="285"/>
      <c r="M100" s="285"/>
      <c r="N100" s="285"/>
      <c r="O100" s="285"/>
      <c r="P100" s="305"/>
      <c r="Q100" s="285"/>
      <c r="R100" s="285"/>
      <c r="S100" s="286"/>
    </row>
    <row r="101" spans="1:33" ht="16.5" customHeight="1">
      <c r="A101" s="535"/>
      <c r="B101" s="535"/>
      <c r="C101" s="305" t="s">
        <v>346</v>
      </c>
      <c r="D101" s="285"/>
      <c r="E101" s="285"/>
      <c r="F101" s="285"/>
      <c r="G101" s="302" t="s">
        <v>347</v>
      </c>
      <c r="H101" s="285"/>
      <c r="I101" s="285"/>
      <c r="J101" s="18"/>
      <c r="K101" s="337" t="s">
        <v>348</v>
      </c>
      <c r="L101" s="305"/>
      <c r="M101" s="285"/>
      <c r="N101" s="18"/>
      <c r="O101" s="307" t="s">
        <v>349</v>
      </c>
      <c r="P101" s="285"/>
      <c r="Q101" s="285"/>
      <c r="R101" s="285"/>
      <c r="S101" s="286"/>
      <c r="T101" s="343"/>
      <c r="U101" s="18"/>
      <c r="AD101" s="18"/>
      <c r="AE101" s="343"/>
      <c r="AF101" s="18"/>
      <c r="AG101" s="227"/>
    </row>
    <row r="102" spans="1:33" ht="4.5" customHeight="1">
      <c r="A102" s="535"/>
      <c r="B102" s="315"/>
      <c r="C102" s="306"/>
      <c r="D102" s="298"/>
      <c r="E102" s="298"/>
      <c r="F102" s="298"/>
      <c r="G102" s="298"/>
      <c r="H102" s="298"/>
      <c r="I102" s="298"/>
      <c r="J102" s="342"/>
      <c r="K102" s="306"/>
      <c r="L102" s="298"/>
      <c r="M102" s="342"/>
      <c r="N102" s="298"/>
      <c r="O102" s="298"/>
      <c r="P102" s="298"/>
      <c r="Q102" s="326"/>
      <c r="R102" s="298"/>
      <c r="S102" s="299"/>
      <c r="T102" s="343"/>
      <c r="U102" s="18"/>
      <c r="AD102" s="18"/>
      <c r="AE102" s="343"/>
      <c r="AF102" s="18"/>
      <c r="AG102" s="18"/>
    </row>
    <row r="103" spans="1:33" ht="4.5" customHeight="1">
      <c r="A103" s="535" t="s">
        <v>351</v>
      </c>
      <c r="B103" s="283"/>
      <c r="C103" s="344"/>
      <c r="D103" s="283"/>
      <c r="E103" s="283"/>
      <c r="F103" s="283"/>
      <c r="G103" s="283"/>
      <c r="H103" s="283"/>
      <c r="I103" s="283"/>
      <c r="J103" s="345"/>
      <c r="K103" s="344"/>
      <c r="L103" s="283"/>
      <c r="M103" s="345"/>
      <c r="N103" s="283"/>
      <c r="O103" s="283"/>
      <c r="P103" s="283"/>
      <c r="Q103" s="328"/>
      <c r="R103" s="283"/>
      <c r="S103" s="284"/>
      <c r="T103" s="343"/>
      <c r="U103" s="18"/>
      <c r="AD103" s="18"/>
      <c r="AE103" s="343"/>
      <c r="AF103" s="18"/>
      <c r="AG103" s="18"/>
    </row>
    <row r="104" spans="1:19" ht="16.5" customHeight="1">
      <c r="A104" s="535"/>
      <c r="B104" s="307" t="s">
        <v>352</v>
      </c>
      <c r="C104" s="316"/>
      <c r="D104" s="285"/>
      <c r="E104" s="285"/>
      <c r="F104" s="285"/>
      <c r="G104" s="285"/>
      <c r="H104" s="285"/>
      <c r="I104" s="285"/>
      <c r="J104" s="18"/>
      <c r="K104" s="285"/>
      <c r="L104" s="285"/>
      <c r="M104" s="285"/>
      <c r="N104" s="285"/>
      <c r="O104" s="285"/>
      <c r="P104" s="285"/>
      <c r="Q104" s="285"/>
      <c r="R104" s="285"/>
      <c r="S104" s="286"/>
    </row>
    <row r="105" spans="1:19" ht="16.5" customHeight="1">
      <c r="A105" s="535"/>
      <c r="B105" s="307" t="s">
        <v>353</v>
      </c>
      <c r="C105" s="316"/>
      <c r="D105" s="285"/>
      <c r="E105" s="285"/>
      <c r="F105" s="285"/>
      <c r="G105" s="285"/>
      <c r="H105" s="285"/>
      <c r="I105" s="285"/>
      <c r="J105" s="307"/>
      <c r="K105" s="285"/>
      <c r="L105" s="285"/>
      <c r="M105" s="285"/>
      <c r="N105" s="285"/>
      <c r="O105" s="285"/>
      <c r="P105" s="285"/>
      <c r="Q105" s="285"/>
      <c r="R105" s="285"/>
      <c r="S105" s="286"/>
    </row>
    <row r="106" spans="1:19" ht="16.5" customHeight="1">
      <c r="A106" s="535"/>
      <c r="B106" s="307" t="s">
        <v>354</v>
      </c>
      <c r="C106" s="316"/>
      <c r="D106" s="285"/>
      <c r="E106" s="285"/>
      <c r="F106" s="285"/>
      <c r="G106" s="285"/>
      <c r="H106" s="285"/>
      <c r="I106" s="307" t="s">
        <v>355</v>
      </c>
      <c r="J106" s="285"/>
      <c r="K106" s="285"/>
      <c r="L106" s="285"/>
      <c r="M106" s="18"/>
      <c r="N106" s="285"/>
      <c r="O106" s="285"/>
      <c r="P106" s="285"/>
      <c r="Q106" s="285"/>
      <c r="R106" s="285"/>
      <c r="S106" s="286"/>
    </row>
    <row r="107" spans="1:19" ht="16.5" customHeight="1">
      <c r="A107" s="535"/>
      <c r="B107" s="337" t="s">
        <v>356</v>
      </c>
      <c r="C107" s="316"/>
      <c r="D107" s="285"/>
      <c r="E107" s="285"/>
      <c r="F107" s="285"/>
      <c r="G107" s="285"/>
      <c r="H107" s="285"/>
      <c r="I107" s="285"/>
      <c r="J107" s="285"/>
      <c r="K107" s="285"/>
      <c r="L107" s="285"/>
      <c r="M107" s="307"/>
      <c r="N107" s="285"/>
      <c r="O107" s="285"/>
      <c r="P107" s="285"/>
      <c r="Q107" s="285"/>
      <c r="R107" s="285"/>
      <c r="S107" s="286"/>
    </row>
    <row r="108" spans="1:19" ht="16.5" customHeight="1">
      <c r="A108" s="535"/>
      <c r="B108" s="285" t="s">
        <v>190</v>
      </c>
      <c r="C108" s="285"/>
      <c r="D108" s="285"/>
      <c r="E108" s="285"/>
      <c r="F108" s="337" t="s">
        <v>191</v>
      </c>
      <c r="G108" s="285"/>
      <c r="H108" s="285"/>
      <c r="I108" s="307" t="s">
        <v>192</v>
      </c>
      <c r="J108" s="285"/>
      <c r="K108" s="285"/>
      <c r="L108" s="285"/>
      <c r="M108" s="302" t="s">
        <v>193</v>
      </c>
      <c r="N108" s="285"/>
      <c r="O108" s="285"/>
      <c r="P108" s="285"/>
      <c r="Q108" s="285"/>
      <c r="R108" s="285"/>
      <c r="S108" s="286"/>
    </row>
    <row r="109" spans="1:19" ht="16.5" customHeight="1">
      <c r="A109" s="535"/>
      <c r="B109" s="285" t="s">
        <v>194</v>
      </c>
      <c r="C109" s="285"/>
      <c r="D109" s="285"/>
      <c r="E109" s="285"/>
      <c r="F109" s="285"/>
      <c r="G109" s="285"/>
      <c r="H109" s="285"/>
      <c r="I109" s="18"/>
      <c r="J109" s="337" t="s">
        <v>191</v>
      </c>
      <c r="K109" s="285"/>
      <c r="L109" s="285"/>
      <c r="M109" s="307" t="s">
        <v>192</v>
      </c>
      <c r="N109" s="285"/>
      <c r="O109" s="285"/>
      <c r="P109" s="285"/>
      <c r="Q109" s="302" t="s">
        <v>195</v>
      </c>
      <c r="R109" s="285"/>
      <c r="S109" s="286"/>
    </row>
    <row r="110" spans="1:19" ht="16.5" customHeight="1">
      <c r="A110" s="535"/>
      <c r="B110" s="346" t="s">
        <v>196</v>
      </c>
      <c r="C110" s="285"/>
      <c r="D110" s="285"/>
      <c r="E110" s="285"/>
      <c r="F110" s="301"/>
      <c r="G110" s="285" t="s">
        <v>197</v>
      </c>
      <c r="H110" s="337" t="s">
        <v>198</v>
      </c>
      <c r="I110" s="285"/>
      <c r="J110" s="337" t="s">
        <v>199</v>
      </c>
      <c r="K110" s="285"/>
      <c r="L110" s="285"/>
      <c r="M110" s="285"/>
      <c r="N110" s="285"/>
      <c r="O110" s="285"/>
      <c r="P110" s="285"/>
      <c r="Q110" s="285"/>
      <c r="R110" s="285"/>
      <c r="S110" s="286"/>
    </row>
    <row r="111" spans="1:19" ht="4.5" customHeight="1">
      <c r="A111" s="535"/>
      <c r="B111" s="298"/>
      <c r="C111" s="298"/>
      <c r="D111" s="298"/>
      <c r="E111" s="298"/>
      <c r="F111" s="298"/>
      <c r="G111" s="298"/>
      <c r="H111" s="298"/>
      <c r="I111" s="298"/>
      <c r="J111" s="298"/>
      <c r="K111" s="298"/>
      <c r="L111" s="298"/>
      <c r="M111" s="298"/>
      <c r="N111" s="298"/>
      <c r="O111" s="298"/>
      <c r="P111" s="298"/>
      <c r="Q111" s="298"/>
      <c r="R111" s="298"/>
      <c r="S111" s="299"/>
    </row>
    <row r="112" spans="1:19" ht="4.5" customHeight="1">
      <c r="A112" s="347"/>
      <c r="B112" s="285"/>
      <c r="C112" s="316"/>
      <c r="D112" s="285"/>
      <c r="E112" s="285"/>
      <c r="F112" s="285"/>
      <c r="G112" s="285"/>
      <c r="H112" s="285"/>
      <c r="I112" s="285"/>
      <c r="J112" s="285"/>
      <c r="K112" s="285"/>
      <c r="L112" s="285"/>
      <c r="M112" s="285"/>
      <c r="N112" s="285"/>
      <c r="O112" s="285"/>
      <c r="P112" s="285"/>
      <c r="Q112" s="285"/>
      <c r="R112" s="285"/>
      <c r="S112" s="286"/>
    </row>
    <row r="113" spans="1:19" ht="16.5" customHeight="1">
      <c r="A113" s="536" t="s">
        <v>200</v>
      </c>
      <c r="B113" s="348" t="s">
        <v>201</v>
      </c>
      <c r="C113" s="285"/>
      <c r="D113" s="285"/>
      <c r="E113" s="285"/>
      <c r="F113" s="285"/>
      <c r="G113" s="18"/>
      <c r="H113" s="302" t="s">
        <v>202</v>
      </c>
      <c r="I113" s="285"/>
      <c r="J113" s="285"/>
      <c r="K113" s="285"/>
      <c r="L113" s="302" t="s">
        <v>287</v>
      </c>
      <c r="M113" s="18"/>
      <c r="N113" s="285"/>
      <c r="O113" s="285"/>
      <c r="P113" s="285"/>
      <c r="Q113" s="285"/>
      <c r="R113" s="285"/>
      <c r="S113" s="286"/>
    </row>
    <row r="114" spans="1:19" ht="16.5" customHeight="1">
      <c r="A114" s="536"/>
      <c r="B114" s="348" t="s">
        <v>203</v>
      </c>
      <c r="C114" s="285"/>
      <c r="D114" s="285"/>
      <c r="E114" s="285"/>
      <c r="F114" s="285"/>
      <c r="G114" s="285"/>
      <c r="H114" s="285"/>
      <c r="I114" s="285"/>
      <c r="J114" s="285"/>
      <c r="K114" s="285"/>
      <c r="L114" s="285"/>
      <c r="M114" s="285"/>
      <c r="N114" s="285"/>
      <c r="O114" s="285"/>
      <c r="P114" s="285"/>
      <c r="Q114" s="285"/>
      <c r="R114" s="285"/>
      <c r="S114" s="286"/>
    </row>
    <row r="115" spans="1:19" ht="16.5" customHeight="1">
      <c r="A115" s="536"/>
      <c r="B115" s="293" t="s">
        <v>204</v>
      </c>
      <c r="C115" s="285"/>
      <c r="D115" s="285"/>
      <c r="E115" s="302" t="s">
        <v>205</v>
      </c>
      <c r="F115" s="285"/>
      <c r="G115" s="18"/>
      <c r="H115" s="302" t="s">
        <v>206</v>
      </c>
      <c r="I115" s="285"/>
      <c r="J115" s="285"/>
      <c r="K115" s="302" t="s">
        <v>207</v>
      </c>
      <c r="L115" s="285"/>
      <c r="M115" s="285"/>
      <c r="N115" s="285"/>
      <c r="O115" s="285"/>
      <c r="P115" s="302" t="s">
        <v>208</v>
      </c>
      <c r="Q115" s="285"/>
      <c r="R115" s="285"/>
      <c r="S115" s="286"/>
    </row>
    <row r="116" spans="1:19" ht="16.5" customHeight="1">
      <c r="A116" s="536"/>
      <c r="B116" s="293" t="s">
        <v>209</v>
      </c>
      <c r="C116" s="285"/>
      <c r="D116" s="307" t="s">
        <v>210</v>
      </c>
      <c r="E116" s="285"/>
      <c r="F116" s="285"/>
      <c r="G116" s="285"/>
      <c r="H116" s="285"/>
      <c r="I116" s="285"/>
      <c r="J116" s="18"/>
      <c r="K116" s="18"/>
      <c r="L116" s="337" t="s">
        <v>211</v>
      </c>
      <c r="M116" s="285"/>
      <c r="N116" s="285"/>
      <c r="O116" s="285"/>
      <c r="P116" s="285"/>
      <c r="Q116" s="285"/>
      <c r="R116" s="285"/>
      <c r="S116" s="286"/>
    </row>
    <row r="117" spans="1:19" ht="16.5" customHeight="1">
      <c r="A117" s="536"/>
      <c r="B117" s="293"/>
      <c r="C117" s="330" t="s">
        <v>212</v>
      </c>
      <c r="D117" s="307"/>
      <c r="E117" s="285"/>
      <c r="F117" s="285"/>
      <c r="G117" s="285"/>
      <c r="H117" s="285"/>
      <c r="I117" s="285"/>
      <c r="J117" s="285"/>
      <c r="K117" s="285"/>
      <c r="L117" s="285"/>
      <c r="M117" s="285"/>
      <c r="N117" s="285"/>
      <c r="O117" s="285"/>
      <c r="P117" s="349"/>
      <c r="Q117" s="285"/>
      <c r="R117" s="285"/>
      <c r="S117" s="286"/>
    </row>
    <row r="118" spans="1:19" ht="16.5" customHeight="1">
      <c r="A118" s="536"/>
      <c r="B118" s="303" t="s">
        <v>213</v>
      </c>
      <c r="C118" s="285"/>
      <c r="D118" s="285"/>
      <c r="E118" s="285"/>
      <c r="F118" s="18"/>
      <c r="G118" s="301"/>
      <c r="H118" s="285" t="s">
        <v>292</v>
      </c>
      <c r="I118" s="337" t="s">
        <v>214</v>
      </c>
      <c r="J118" s="285"/>
      <c r="K118" s="307" t="s">
        <v>215</v>
      </c>
      <c r="L118" s="285"/>
      <c r="M118" s="285"/>
      <c r="N118" s="285"/>
      <c r="O118" s="285"/>
      <c r="P118" s="349"/>
      <c r="Q118" s="285"/>
      <c r="R118" s="285"/>
      <c r="S118" s="286"/>
    </row>
    <row r="119" spans="1:19" ht="16.5" customHeight="1">
      <c r="A119" s="536"/>
      <c r="B119" s="350" t="s">
        <v>216</v>
      </c>
      <c r="C119" s="285"/>
      <c r="D119" s="285"/>
      <c r="E119" s="285"/>
      <c r="F119" s="285"/>
      <c r="G119" s="285"/>
      <c r="H119" s="285"/>
      <c r="I119" s="285"/>
      <c r="J119" s="285"/>
      <c r="K119" s="285"/>
      <c r="L119" s="285"/>
      <c r="M119" s="285"/>
      <c r="N119" s="285"/>
      <c r="O119" s="285"/>
      <c r="P119" s="285"/>
      <c r="Q119" s="285"/>
      <c r="R119" s="285"/>
      <c r="S119" s="286"/>
    </row>
    <row r="120" spans="1:19" ht="4.5" customHeight="1">
      <c r="A120" s="296"/>
      <c r="B120" s="333"/>
      <c r="C120" s="326"/>
      <c r="D120" s="298"/>
      <c r="E120" s="298"/>
      <c r="F120" s="298"/>
      <c r="G120" s="298"/>
      <c r="H120" s="298"/>
      <c r="I120" s="298"/>
      <c r="J120" s="298"/>
      <c r="K120" s="298"/>
      <c r="L120" s="298"/>
      <c r="M120" s="298"/>
      <c r="N120" s="298"/>
      <c r="O120" s="298"/>
      <c r="P120" s="306"/>
      <c r="Q120" s="298"/>
      <c r="R120" s="298"/>
      <c r="S120" s="299"/>
    </row>
    <row r="121" spans="1:19" ht="4.5" customHeight="1">
      <c r="A121" s="532" t="s">
        <v>217</v>
      </c>
      <c r="B121" s="285"/>
      <c r="C121" s="316"/>
      <c r="D121" s="285"/>
      <c r="E121" s="285"/>
      <c r="F121" s="285"/>
      <c r="G121" s="285"/>
      <c r="H121" s="285"/>
      <c r="I121" s="285"/>
      <c r="J121" s="285"/>
      <c r="K121" s="285"/>
      <c r="L121" s="305"/>
      <c r="M121" s="285"/>
      <c r="N121" s="285"/>
      <c r="O121" s="285"/>
      <c r="P121" s="285"/>
      <c r="Q121" s="285"/>
      <c r="R121" s="285"/>
      <c r="S121" s="286"/>
    </row>
    <row r="122" spans="1:19" ht="16.5" customHeight="1">
      <c r="A122" s="532"/>
      <c r="B122" s="285" t="s">
        <v>778</v>
      </c>
      <c r="C122" s="316"/>
      <c r="D122" s="18"/>
      <c r="E122" s="351"/>
      <c r="F122" s="352"/>
      <c r="G122" s="285" t="s">
        <v>218</v>
      </c>
      <c r="H122" s="285"/>
      <c r="I122" s="18"/>
      <c r="J122" s="285" t="s">
        <v>219</v>
      </c>
      <c r="K122" s="285"/>
      <c r="L122" s="285"/>
      <c r="M122" s="285"/>
      <c r="N122" s="285"/>
      <c r="O122" s="18"/>
      <c r="P122" s="301"/>
      <c r="Q122" s="285" t="s">
        <v>220</v>
      </c>
      <c r="R122" s="285" t="s">
        <v>221</v>
      </c>
      <c r="S122" s="353"/>
    </row>
    <row r="123" spans="1:19" ht="16.5" customHeight="1">
      <c r="A123" s="532"/>
      <c r="B123" s="18"/>
      <c r="C123" s="18"/>
      <c r="D123" s="18"/>
      <c r="E123" s="18"/>
      <c r="F123" s="18"/>
      <c r="G123" s="18"/>
      <c r="H123" s="285"/>
      <c r="I123" s="285"/>
      <c r="J123" s="285"/>
      <c r="K123" s="354" t="s">
        <v>222</v>
      </c>
      <c r="L123" s="285"/>
      <c r="M123" s="285"/>
      <c r="N123" s="285"/>
      <c r="O123" s="285"/>
      <c r="P123" s="285"/>
      <c r="Q123" s="285"/>
      <c r="R123" s="285"/>
      <c r="S123" s="286"/>
    </row>
    <row r="124" spans="1:19" ht="16.5" customHeight="1">
      <c r="A124" s="532"/>
      <c r="B124" s="18"/>
      <c r="C124" s="18"/>
      <c r="D124" s="18"/>
      <c r="E124" s="18"/>
      <c r="F124" s="302" t="s">
        <v>223</v>
      </c>
      <c r="G124" s="18"/>
      <c r="H124" s="285"/>
      <c r="I124" s="18"/>
      <c r="J124" s="285"/>
      <c r="K124" s="302" t="s">
        <v>224</v>
      </c>
      <c r="L124" s="305"/>
      <c r="M124" s="18"/>
      <c r="N124" s="285"/>
      <c r="O124" s="285"/>
      <c r="P124" s="285"/>
      <c r="Q124" s="285"/>
      <c r="R124" s="285"/>
      <c r="S124" s="286"/>
    </row>
    <row r="125" spans="1:19" ht="16.5" customHeight="1">
      <c r="A125" s="532"/>
      <c r="B125" s="18"/>
      <c r="C125" s="18"/>
      <c r="D125" s="18"/>
      <c r="E125" s="18"/>
      <c r="F125" s="302" t="s">
        <v>225</v>
      </c>
      <c r="G125" s="285"/>
      <c r="H125" s="18"/>
      <c r="I125" s="302" t="s">
        <v>226</v>
      </c>
      <c r="J125" s="285"/>
      <c r="K125" s="285"/>
      <c r="L125" s="305"/>
      <c r="M125" s="285"/>
      <c r="N125" s="285"/>
      <c r="O125" s="285"/>
      <c r="P125" s="310"/>
      <c r="Q125" s="355"/>
      <c r="R125" s="355"/>
      <c r="S125" s="356"/>
    </row>
    <row r="126" spans="1:19" ht="16.5" customHeight="1">
      <c r="A126" s="532"/>
      <c r="B126" s="285" t="s">
        <v>227</v>
      </c>
      <c r="C126" s="316"/>
      <c r="D126" s="18"/>
      <c r="E126" s="351"/>
      <c r="F126" s="352"/>
      <c r="G126" s="285" t="s">
        <v>659</v>
      </c>
      <c r="H126" s="285"/>
      <c r="I126" s="18"/>
      <c r="J126" s="18"/>
      <c r="K126" s="18"/>
      <c r="L126" s="18"/>
      <c r="M126" s="18"/>
      <c r="N126" s="18"/>
      <c r="O126" s="18"/>
      <c r="P126" s="18"/>
      <c r="Q126" s="18"/>
      <c r="R126" s="18"/>
      <c r="S126" s="286"/>
    </row>
    <row r="127" spans="1:19" ht="16.5" customHeight="1">
      <c r="A127" s="532"/>
      <c r="B127" s="18"/>
      <c r="C127" s="18"/>
      <c r="D127" s="18"/>
      <c r="E127" s="18"/>
      <c r="F127" s="302" t="s">
        <v>228</v>
      </c>
      <c r="G127" s="285"/>
      <c r="H127" s="285"/>
      <c r="I127" s="302" t="s">
        <v>226</v>
      </c>
      <c r="J127" s="285"/>
      <c r="K127" s="285"/>
      <c r="L127" s="305"/>
      <c r="M127" s="285"/>
      <c r="N127" s="285"/>
      <c r="O127" s="285"/>
      <c r="P127" s="310"/>
      <c r="Q127" s="355"/>
      <c r="R127" s="355"/>
      <c r="S127" s="356"/>
    </row>
    <row r="128" spans="1:19" ht="16.5" customHeight="1">
      <c r="A128" s="532"/>
      <c r="B128" s="285" t="s">
        <v>229</v>
      </c>
      <c r="C128" s="316"/>
      <c r="D128" s="18"/>
      <c r="E128" s="351"/>
      <c r="F128" s="352"/>
      <c r="G128" s="285" t="s">
        <v>230</v>
      </c>
      <c r="H128" s="285"/>
      <c r="I128" s="285"/>
      <c r="J128" s="285"/>
      <c r="K128" s="285"/>
      <c r="L128" s="285"/>
      <c r="M128" s="285"/>
      <c r="N128" s="285"/>
      <c r="O128" s="285"/>
      <c r="P128" s="285"/>
      <c r="Q128" s="285"/>
      <c r="R128" s="285"/>
      <c r="S128" s="286"/>
    </row>
    <row r="129" spans="1:19" ht="16.5" customHeight="1">
      <c r="A129" s="532"/>
      <c r="B129" s="285" t="s">
        <v>231</v>
      </c>
      <c r="C129" s="316"/>
      <c r="D129" s="18"/>
      <c r="E129" s="351"/>
      <c r="F129" s="352"/>
      <c r="G129" s="285" t="s">
        <v>232</v>
      </c>
      <c r="H129" s="285"/>
      <c r="I129" s="285"/>
      <c r="J129" s="285"/>
      <c r="K129" s="285"/>
      <c r="L129" s="285"/>
      <c r="M129" s="285"/>
      <c r="N129" s="285"/>
      <c r="O129" s="285"/>
      <c r="P129" s="285"/>
      <c r="Q129" s="285"/>
      <c r="R129" s="285"/>
      <c r="S129" s="286"/>
    </row>
    <row r="130" spans="1:19" ht="16.5" customHeight="1">
      <c r="A130" s="532"/>
      <c r="B130" s="285" t="s">
        <v>233</v>
      </c>
      <c r="C130" s="316"/>
      <c r="D130" s="18"/>
      <c r="E130" s="351"/>
      <c r="F130" s="352"/>
      <c r="G130" s="285" t="s">
        <v>234</v>
      </c>
      <c r="H130" s="285"/>
      <c r="I130" s="285"/>
      <c r="J130" s="285"/>
      <c r="K130" s="285"/>
      <c r="L130" s="285"/>
      <c r="M130" s="285"/>
      <c r="N130" s="285"/>
      <c r="O130" s="285"/>
      <c r="P130" s="285"/>
      <c r="Q130" s="285"/>
      <c r="R130" s="285"/>
      <c r="S130" s="286"/>
    </row>
    <row r="131" spans="1:19" ht="16.5" customHeight="1">
      <c r="A131" s="532"/>
      <c r="B131" s="285" t="s">
        <v>235</v>
      </c>
      <c r="C131" s="316"/>
      <c r="D131" s="18"/>
      <c r="E131" s="351"/>
      <c r="F131" s="352"/>
      <c r="G131" s="285" t="s">
        <v>236</v>
      </c>
      <c r="H131" s="285"/>
      <c r="I131" s="285"/>
      <c r="J131" s="285"/>
      <c r="K131" s="285"/>
      <c r="L131" s="285"/>
      <c r="M131" s="285"/>
      <c r="N131" s="285"/>
      <c r="O131" s="285"/>
      <c r="P131" s="285"/>
      <c r="Q131" s="285"/>
      <c r="R131" s="285"/>
      <c r="S131" s="286"/>
    </row>
    <row r="132" spans="1:19" ht="16.5" customHeight="1">
      <c r="A132" s="532"/>
      <c r="B132" s="285" t="s">
        <v>237</v>
      </c>
      <c r="C132" s="316"/>
      <c r="D132" s="285"/>
      <c r="E132" s="18"/>
      <c r="F132" s="301"/>
      <c r="G132" s="285" t="s">
        <v>238</v>
      </c>
      <c r="H132" s="285"/>
      <c r="I132" s="285"/>
      <c r="J132" s="285"/>
      <c r="K132" s="285"/>
      <c r="L132" s="285"/>
      <c r="M132" s="285"/>
      <c r="N132" s="285"/>
      <c r="O132" s="285"/>
      <c r="P132" s="285"/>
      <c r="Q132" s="285"/>
      <c r="R132" s="285"/>
      <c r="S132" s="286"/>
    </row>
    <row r="133" spans="1:19" ht="4.5" customHeight="1">
      <c r="A133" s="532"/>
      <c r="B133" s="285"/>
      <c r="C133" s="316"/>
      <c r="D133" s="18"/>
      <c r="E133" s="288"/>
      <c r="F133" s="288"/>
      <c r="G133" s="285"/>
      <c r="H133" s="285"/>
      <c r="I133" s="285"/>
      <c r="J133" s="285"/>
      <c r="K133" s="285"/>
      <c r="L133" s="285"/>
      <c r="M133" s="285"/>
      <c r="N133" s="285"/>
      <c r="O133" s="285"/>
      <c r="P133" s="285"/>
      <c r="Q133" s="285"/>
      <c r="R133" s="285"/>
      <c r="S133" s="286"/>
    </row>
    <row r="134" spans="1:19" ht="16.5" customHeight="1">
      <c r="A134" s="532"/>
      <c r="B134" s="285" t="s">
        <v>718</v>
      </c>
      <c r="C134" s="310"/>
      <c r="D134" s="311"/>
      <c r="E134" s="305" t="s">
        <v>239</v>
      </c>
      <c r="F134" s="18"/>
      <c r="G134" s="18"/>
      <c r="H134" s="18"/>
      <c r="I134" s="285"/>
      <c r="J134" s="285"/>
      <c r="K134" s="285"/>
      <c r="L134" s="285"/>
      <c r="M134" s="285"/>
      <c r="N134" s="285"/>
      <c r="O134" s="285"/>
      <c r="P134" s="285"/>
      <c r="Q134" s="285"/>
      <c r="R134" s="285"/>
      <c r="S134" s="286"/>
    </row>
    <row r="135" spans="1:19" ht="4.5" customHeight="1">
      <c r="A135" s="532"/>
      <c r="B135" s="285"/>
      <c r="C135" s="316"/>
      <c r="D135" s="285"/>
      <c r="E135" s="285"/>
      <c r="F135" s="285"/>
      <c r="G135" s="285"/>
      <c r="H135" s="285"/>
      <c r="I135" s="285"/>
      <c r="J135" s="285"/>
      <c r="K135" s="285"/>
      <c r="L135" s="305"/>
      <c r="M135" s="285"/>
      <c r="N135" s="285"/>
      <c r="O135" s="285"/>
      <c r="P135" s="285"/>
      <c r="Q135" s="285"/>
      <c r="R135" s="285"/>
      <c r="S135" s="286"/>
    </row>
    <row r="136" spans="1:19" ht="4.5" customHeight="1">
      <c r="A136" s="334"/>
      <c r="B136" s="283"/>
      <c r="C136" s="328"/>
      <c r="D136" s="283"/>
      <c r="E136" s="283"/>
      <c r="F136" s="283"/>
      <c r="G136" s="283"/>
      <c r="H136" s="283"/>
      <c r="I136" s="283"/>
      <c r="J136" s="283"/>
      <c r="K136" s="283"/>
      <c r="L136" s="344"/>
      <c r="M136" s="283"/>
      <c r="N136" s="283"/>
      <c r="O136" s="283"/>
      <c r="P136" s="283"/>
      <c r="Q136" s="283"/>
      <c r="R136" s="283"/>
      <c r="S136" s="283"/>
    </row>
    <row r="137" spans="1:19" ht="4.5" customHeight="1">
      <c r="A137" s="335"/>
      <c r="B137" s="298"/>
      <c r="C137" s="326"/>
      <c r="D137" s="298"/>
      <c r="E137" s="298"/>
      <c r="F137" s="298"/>
      <c r="G137" s="298"/>
      <c r="H137" s="298"/>
      <c r="I137" s="298"/>
      <c r="J137" s="298"/>
      <c r="K137" s="298"/>
      <c r="L137" s="306"/>
      <c r="M137" s="298"/>
      <c r="N137" s="298"/>
      <c r="O137" s="298"/>
      <c r="P137" s="298"/>
      <c r="Q137" s="298"/>
      <c r="R137" s="298"/>
      <c r="S137" s="298"/>
    </row>
    <row r="138" spans="1:19" ht="4.5" customHeight="1">
      <c r="A138" s="533" t="s">
        <v>240</v>
      </c>
      <c r="B138" s="285"/>
      <c r="C138" s="316"/>
      <c r="D138" s="285"/>
      <c r="E138" s="285"/>
      <c r="F138" s="285"/>
      <c r="G138" s="285"/>
      <c r="H138" s="285"/>
      <c r="I138" s="285"/>
      <c r="J138" s="285"/>
      <c r="K138" s="285"/>
      <c r="L138" s="305"/>
      <c r="M138" s="285"/>
      <c r="N138" s="285"/>
      <c r="O138" s="285"/>
      <c r="P138" s="285"/>
      <c r="Q138" s="285"/>
      <c r="R138" s="285"/>
      <c r="S138" s="286"/>
    </row>
    <row r="139" spans="1:19" ht="16.5" customHeight="1">
      <c r="A139" s="533"/>
      <c r="B139" s="346" t="s">
        <v>241</v>
      </c>
      <c r="C139" s="285"/>
      <c r="D139" s="305" t="s">
        <v>242</v>
      </c>
      <c r="E139" s="285"/>
      <c r="F139" s="537"/>
      <c r="G139" s="537"/>
      <c r="H139" s="285"/>
      <c r="I139" s="18"/>
      <c r="J139" s="18"/>
      <c r="K139" s="346" t="s">
        <v>243</v>
      </c>
      <c r="L139" s="285"/>
      <c r="M139" s="305" t="s">
        <v>242</v>
      </c>
      <c r="N139" s="285"/>
      <c r="O139" s="321"/>
      <c r="P139" s="322"/>
      <c r="Q139" s="285"/>
      <c r="R139" s="285"/>
      <c r="S139" s="286"/>
    </row>
    <row r="140" spans="1:19" ht="16.5" customHeight="1">
      <c r="A140" s="533"/>
      <c r="B140" s="285"/>
      <c r="C140" s="285"/>
      <c r="D140" s="305" t="s">
        <v>244</v>
      </c>
      <c r="E140" s="285"/>
      <c r="F140" s="18"/>
      <c r="G140" s="357"/>
      <c r="H140" s="285" t="s">
        <v>245</v>
      </c>
      <c r="I140" s="18"/>
      <c r="J140" s="18"/>
      <c r="K140" s="285"/>
      <c r="L140" s="285"/>
      <c r="M140" s="305" t="s">
        <v>244</v>
      </c>
      <c r="N140" s="285"/>
      <c r="O140" s="18"/>
      <c r="P140" s="357"/>
      <c r="Q140" s="285" t="s">
        <v>245</v>
      </c>
      <c r="R140" s="285"/>
      <c r="S140" s="286"/>
    </row>
    <row r="141" spans="1:19" ht="16.5" customHeight="1">
      <c r="A141" s="533"/>
      <c r="B141" s="285"/>
      <c r="C141" s="285"/>
      <c r="D141" s="305" t="s">
        <v>502</v>
      </c>
      <c r="E141" s="285"/>
      <c r="F141" s="537"/>
      <c r="G141" s="537"/>
      <c r="H141" s="285" t="s">
        <v>246</v>
      </c>
      <c r="I141" s="18"/>
      <c r="J141" s="18"/>
      <c r="K141" s="285"/>
      <c r="L141" s="285"/>
      <c r="M141" s="305" t="s">
        <v>502</v>
      </c>
      <c r="N141" s="285"/>
      <c r="O141" s="321"/>
      <c r="P141" s="322"/>
      <c r="Q141" s="285" t="s">
        <v>246</v>
      </c>
      <c r="R141" s="285"/>
      <c r="S141" s="286"/>
    </row>
    <row r="142" spans="1:19" ht="16.5" customHeight="1">
      <c r="A142" s="533"/>
      <c r="B142" s="285"/>
      <c r="C142" s="285"/>
      <c r="D142" s="305" t="s">
        <v>247</v>
      </c>
      <c r="E142" s="285"/>
      <c r="F142" s="537"/>
      <c r="G142" s="537"/>
      <c r="H142" s="285" t="s">
        <v>248</v>
      </c>
      <c r="I142" s="18"/>
      <c r="J142" s="18"/>
      <c r="K142" s="285"/>
      <c r="L142" s="285"/>
      <c r="M142" s="305" t="s">
        <v>247</v>
      </c>
      <c r="N142" s="285"/>
      <c r="O142" s="321"/>
      <c r="P142" s="322"/>
      <c r="Q142" s="285" t="s">
        <v>248</v>
      </c>
      <c r="R142" s="285"/>
      <c r="S142" s="286"/>
    </row>
    <row r="143" spans="1:19" s="18" customFormat="1" ht="4.5" customHeight="1">
      <c r="A143" s="533"/>
      <c r="B143" s="358"/>
      <c r="C143" s="359"/>
      <c r="D143" s="298"/>
      <c r="E143" s="298"/>
      <c r="F143" s="298"/>
      <c r="G143" s="298"/>
      <c r="H143" s="298"/>
      <c r="I143" s="298"/>
      <c r="J143" s="298"/>
      <c r="K143" s="298"/>
      <c r="L143" s="298"/>
      <c r="M143" s="298"/>
      <c r="N143" s="298"/>
      <c r="O143" s="298"/>
      <c r="P143" s="298"/>
      <c r="Q143" s="298"/>
      <c r="R143" s="298"/>
      <c r="S143" s="299"/>
    </row>
    <row r="144" spans="1:19" s="18" customFormat="1" ht="4.5" customHeight="1">
      <c r="A144" s="360"/>
      <c r="B144" s="339"/>
      <c r="C144" s="361"/>
      <c r="D144" s="285"/>
      <c r="E144" s="285"/>
      <c r="F144" s="285"/>
      <c r="G144" s="285"/>
      <c r="H144" s="285"/>
      <c r="I144" s="285"/>
      <c r="J144" s="285"/>
      <c r="K144" s="285"/>
      <c r="L144" s="285"/>
      <c r="M144" s="285"/>
      <c r="N144" s="285"/>
      <c r="O144" s="285"/>
      <c r="P144" s="285"/>
      <c r="Q144" s="285"/>
      <c r="R144" s="285"/>
      <c r="S144" s="286"/>
    </row>
    <row r="145" spans="1:19" ht="16.5" customHeight="1">
      <c r="A145" s="534" t="s">
        <v>249</v>
      </c>
      <c r="B145" s="338" t="s">
        <v>749</v>
      </c>
      <c r="C145" s="361"/>
      <c r="D145" s="285"/>
      <c r="E145" s="285"/>
      <c r="F145" s="301"/>
      <c r="G145" s="285" t="s">
        <v>250</v>
      </c>
      <c r="H145" s="285"/>
      <c r="I145" s="337" t="s">
        <v>251</v>
      </c>
      <c r="J145" s="285"/>
      <c r="K145" s="302" t="s">
        <v>252</v>
      </c>
      <c r="L145" s="285"/>
      <c r="M145" s="302" t="s">
        <v>253</v>
      </c>
      <c r="N145" s="285"/>
      <c r="O145" s="285"/>
      <c r="P145" s="285"/>
      <c r="Q145" s="285"/>
      <c r="R145" s="285"/>
      <c r="S145" s="286"/>
    </row>
    <row r="146" spans="1:19" ht="16.5" customHeight="1">
      <c r="A146" s="534"/>
      <c r="B146" s="285"/>
      <c r="C146" s="307" t="s">
        <v>254</v>
      </c>
      <c r="D146" s="307"/>
      <c r="E146" s="307"/>
      <c r="F146" s="307" t="s">
        <v>255</v>
      </c>
      <c r="G146" s="307"/>
      <c r="H146" s="307"/>
      <c r="I146" s="307"/>
      <c r="J146" s="18"/>
      <c r="K146" s="337" t="s">
        <v>256</v>
      </c>
      <c r="L146" s="307"/>
      <c r="M146" s="307"/>
      <c r="N146" s="307"/>
      <c r="O146" s="307"/>
      <c r="P146" s="307"/>
      <c r="Q146" s="307" t="s">
        <v>257</v>
      </c>
      <c r="R146" s="285"/>
      <c r="S146" s="286"/>
    </row>
    <row r="147" spans="1:22" ht="16.5" customHeight="1">
      <c r="A147" s="534"/>
      <c r="B147" s="338" t="s">
        <v>258</v>
      </c>
      <c r="C147" s="361"/>
      <c r="D147" s="285"/>
      <c r="E147" s="285"/>
      <c r="F147" s="301"/>
      <c r="G147" s="285" t="s">
        <v>250</v>
      </c>
      <c r="H147" s="285"/>
      <c r="I147" s="337" t="s">
        <v>251</v>
      </c>
      <c r="J147" s="285"/>
      <c r="K147" s="302" t="s">
        <v>252</v>
      </c>
      <c r="L147" s="285"/>
      <c r="M147" s="302" t="s">
        <v>253</v>
      </c>
      <c r="N147" s="285"/>
      <c r="O147" s="285"/>
      <c r="P147" s="285"/>
      <c r="Q147" s="285"/>
      <c r="R147" s="285"/>
      <c r="S147" s="286"/>
      <c r="V147" s="362"/>
    </row>
    <row r="148" spans="1:19" ht="16.5" customHeight="1">
      <c r="A148" s="534"/>
      <c r="B148" s="338"/>
      <c r="C148" s="307" t="s">
        <v>254</v>
      </c>
      <c r="D148" s="307"/>
      <c r="E148" s="307"/>
      <c r="F148" s="307" t="s">
        <v>255</v>
      </c>
      <c r="G148" s="307"/>
      <c r="H148" s="307"/>
      <c r="I148" s="307"/>
      <c r="J148" s="18"/>
      <c r="K148" s="337" t="s">
        <v>256</v>
      </c>
      <c r="L148" s="307"/>
      <c r="M148" s="307"/>
      <c r="N148" s="307"/>
      <c r="O148" s="307"/>
      <c r="P148" s="307"/>
      <c r="Q148" s="307" t="s">
        <v>257</v>
      </c>
      <c r="R148" s="307"/>
      <c r="S148" s="363"/>
    </row>
    <row r="149" spans="1:22" ht="16.5" customHeight="1">
      <c r="A149" s="534"/>
      <c r="B149" s="338" t="s">
        <v>600</v>
      </c>
      <c r="C149" s="361"/>
      <c r="D149" s="285"/>
      <c r="E149" s="285"/>
      <c r="F149" s="301"/>
      <c r="G149" s="285" t="s">
        <v>250</v>
      </c>
      <c r="H149" s="285"/>
      <c r="I149" s="337" t="s">
        <v>251</v>
      </c>
      <c r="J149" s="285"/>
      <c r="K149" s="302" t="s">
        <v>252</v>
      </c>
      <c r="L149" s="285"/>
      <c r="M149" s="302" t="s">
        <v>253</v>
      </c>
      <c r="N149" s="285"/>
      <c r="O149" s="285"/>
      <c r="P149" s="285"/>
      <c r="Q149" s="285"/>
      <c r="R149" s="285"/>
      <c r="S149" s="286"/>
      <c r="V149" s="362"/>
    </row>
    <row r="150" spans="1:19" ht="16.5" customHeight="1">
      <c r="A150" s="534"/>
      <c r="B150" s="338"/>
      <c r="C150" s="307" t="s">
        <v>254</v>
      </c>
      <c r="D150" s="307"/>
      <c r="E150" s="307"/>
      <c r="F150" s="307" t="s">
        <v>255</v>
      </c>
      <c r="G150" s="307"/>
      <c r="H150" s="307"/>
      <c r="I150" s="307"/>
      <c r="J150" s="18"/>
      <c r="K150" s="337" t="s">
        <v>256</v>
      </c>
      <c r="L150" s="307"/>
      <c r="M150" s="307"/>
      <c r="N150" s="307"/>
      <c r="O150" s="307"/>
      <c r="P150" s="307"/>
      <c r="Q150" s="307" t="s">
        <v>257</v>
      </c>
      <c r="R150" s="285"/>
      <c r="S150" s="286"/>
    </row>
    <row r="151" spans="1:22" ht="4.5" customHeight="1">
      <c r="A151" s="534"/>
      <c r="B151" s="364"/>
      <c r="C151" s="359"/>
      <c r="D151" s="298"/>
      <c r="E151" s="298"/>
      <c r="F151" s="298"/>
      <c r="G151" s="298"/>
      <c r="H151" s="298"/>
      <c r="I151" s="298"/>
      <c r="J151" s="298"/>
      <c r="K151" s="298"/>
      <c r="L151" s="298"/>
      <c r="M151" s="298"/>
      <c r="N151" s="298"/>
      <c r="O151" s="298"/>
      <c r="P151" s="298"/>
      <c r="Q151" s="298"/>
      <c r="R151" s="298"/>
      <c r="S151" s="299"/>
      <c r="V151" s="362"/>
    </row>
    <row r="152" spans="1:19" ht="4.5" customHeight="1">
      <c r="A152" s="534"/>
      <c r="B152" s="338"/>
      <c r="C152" s="361"/>
      <c r="D152" s="285"/>
      <c r="E152" s="285"/>
      <c r="F152" s="285"/>
      <c r="G152" s="285"/>
      <c r="H152" s="285"/>
      <c r="I152" s="285"/>
      <c r="J152" s="285"/>
      <c r="K152" s="285"/>
      <c r="L152" s="285"/>
      <c r="M152" s="285"/>
      <c r="N152" s="285"/>
      <c r="O152" s="285"/>
      <c r="P152" s="285"/>
      <c r="Q152" s="285"/>
      <c r="R152" s="285"/>
      <c r="S152" s="286"/>
    </row>
    <row r="153" spans="1:19" ht="16.5" customHeight="1">
      <c r="A153" s="534"/>
      <c r="B153" s="338" t="s">
        <v>734</v>
      </c>
      <c r="C153" s="285"/>
      <c r="D153" s="285"/>
      <c r="E153" s="285"/>
      <c r="F153" s="365"/>
      <c r="G153" s="285" t="s">
        <v>259</v>
      </c>
      <c r="H153" s="285"/>
      <c r="I153" s="337" t="s">
        <v>251</v>
      </c>
      <c r="J153" s="285"/>
      <c r="K153" s="302" t="s">
        <v>260</v>
      </c>
      <c r="L153" s="285"/>
      <c r="M153" s="302" t="s">
        <v>253</v>
      </c>
      <c r="N153" s="285"/>
      <c r="O153" s="285"/>
      <c r="P153" s="285"/>
      <c r="Q153" s="285"/>
      <c r="R153" s="285"/>
      <c r="S153" s="286"/>
    </row>
    <row r="154" spans="1:19" ht="16.5" customHeight="1">
      <c r="A154" s="534"/>
      <c r="B154" s="338"/>
      <c r="C154" s="285"/>
      <c r="D154" s="285"/>
      <c r="E154" s="285"/>
      <c r="F154" s="361"/>
      <c r="G154" s="307" t="s">
        <v>261</v>
      </c>
      <c r="H154" s="307"/>
      <c r="I154" s="307"/>
      <c r="J154" s="307"/>
      <c r="K154" s="307"/>
      <c r="L154" s="18"/>
      <c r="M154" s="307" t="s">
        <v>262</v>
      </c>
      <c r="N154" s="285"/>
      <c r="O154" s="285"/>
      <c r="P154" s="285"/>
      <c r="Q154" s="285"/>
      <c r="R154" s="285"/>
      <c r="S154" s="286"/>
    </row>
    <row r="155" spans="1:20" ht="16.5" customHeight="1">
      <c r="A155" s="534"/>
      <c r="B155" s="366" t="s">
        <v>743</v>
      </c>
      <c r="C155" s="285"/>
      <c r="D155" s="285"/>
      <c r="E155" s="285"/>
      <c r="F155" s="365"/>
      <c r="G155" s="285" t="s">
        <v>259</v>
      </c>
      <c r="H155" s="285"/>
      <c r="I155" s="337" t="s">
        <v>251</v>
      </c>
      <c r="J155" s="285"/>
      <c r="K155" s="302" t="s">
        <v>260</v>
      </c>
      <c r="L155" s="285"/>
      <c r="M155" s="302" t="s">
        <v>253</v>
      </c>
      <c r="N155" s="285"/>
      <c r="O155" s="285"/>
      <c r="P155" s="285"/>
      <c r="Q155" s="285"/>
      <c r="R155" s="285"/>
      <c r="S155" s="286"/>
      <c r="T155" s="362"/>
    </row>
    <row r="156" spans="1:19" ht="16.5" customHeight="1">
      <c r="A156" s="534"/>
      <c r="B156" s="338" t="s">
        <v>741</v>
      </c>
      <c r="C156" s="285"/>
      <c r="D156" s="285"/>
      <c r="E156" s="285"/>
      <c r="F156" s="365"/>
      <c r="G156" s="285" t="s">
        <v>259</v>
      </c>
      <c r="H156" s="285"/>
      <c r="I156" s="337" t="s">
        <v>251</v>
      </c>
      <c r="J156" s="285"/>
      <c r="K156" s="302" t="s">
        <v>260</v>
      </c>
      <c r="L156" s="285"/>
      <c r="M156" s="302" t="s">
        <v>253</v>
      </c>
      <c r="N156" s="285"/>
      <c r="O156" s="285"/>
      <c r="P156" s="285"/>
      <c r="Q156" s="285"/>
      <c r="R156" s="285"/>
      <c r="S156" s="286"/>
    </row>
    <row r="157" spans="1:19" ht="4.5" customHeight="1">
      <c r="A157" s="534"/>
      <c r="B157" s="358"/>
      <c r="C157" s="359"/>
      <c r="D157" s="298"/>
      <c r="E157" s="298"/>
      <c r="F157" s="298"/>
      <c r="G157" s="298"/>
      <c r="H157" s="298"/>
      <c r="I157" s="298"/>
      <c r="J157" s="298"/>
      <c r="K157" s="298"/>
      <c r="L157" s="298"/>
      <c r="M157" s="298"/>
      <c r="N157" s="298"/>
      <c r="O157" s="298"/>
      <c r="P157" s="298"/>
      <c r="Q157" s="298"/>
      <c r="R157" s="298"/>
      <c r="S157" s="299"/>
    </row>
    <row r="158" spans="1:19" ht="4.5" customHeight="1">
      <c r="A158" s="534"/>
      <c r="B158" s="339"/>
      <c r="C158" s="361"/>
      <c r="D158" s="285"/>
      <c r="E158" s="285"/>
      <c r="F158" s="285"/>
      <c r="G158" s="285"/>
      <c r="H158" s="285"/>
      <c r="I158" s="285"/>
      <c r="J158" s="285"/>
      <c r="K158" s="285"/>
      <c r="L158" s="285"/>
      <c r="M158" s="285"/>
      <c r="N158" s="285"/>
      <c r="O158" s="285"/>
      <c r="P158" s="285"/>
      <c r="Q158" s="285"/>
      <c r="R158" s="285"/>
      <c r="S158" s="286"/>
    </row>
    <row r="159" spans="1:19" ht="16.5" customHeight="1">
      <c r="A159" s="534"/>
      <c r="B159" s="285" t="s">
        <v>263</v>
      </c>
      <c r="C159" s="316"/>
      <c r="D159" s="285"/>
      <c r="E159" s="302" t="s">
        <v>302</v>
      </c>
      <c r="F159" s="285"/>
      <c r="G159" s="302" t="s">
        <v>303</v>
      </c>
      <c r="H159" s="285"/>
      <c r="I159" s="302" t="s">
        <v>304</v>
      </c>
      <c r="J159" s="285"/>
      <c r="K159" s="302" t="s">
        <v>305</v>
      </c>
      <c r="L159" s="285"/>
      <c r="M159" s="285"/>
      <c r="N159" s="367" t="s">
        <v>264</v>
      </c>
      <c r="O159" s="285"/>
      <c r="P159" s="285"/>
      <c r="Q159" s="285"/>
      <c r="R159" s="285"/>
      <c r="S159" s="286"/>
    </row>
    <row r="160" spans="1:19" ht="16.5" customHeight="1">
      <c r="A160" s="534"/>
      <c r="B160" s="338" t="s">
        <v>265</v>
      </c>
      <c r="C160" s="361"/>
      <c r="D160" s="285"/>
      <c r="E160" s="285"/>
      <c r="F160" s="365"/>
      <c r="G160" s="285" t="s">
        <v>605</v>
      </c>
      <c r="H160" s="285"/>
      <c r="I160" s="302" t="s">
        <v>266</v>
      </c>
      <c r="J160" s="285"/>
      <c r="K160" s="285"/>
      <c r="L160" s="331" t="s">
        <v>267</v>
      </c>
      <c r="M160" s="301"/>
      <c r="N160" s="285" t="s">
        <v>268</v>
      </c>
      <c r="O160" s="285"/>
      <c r="P160" s="307" t="s">
        <v>257</v>
      </c>
      <c r="R160" s="285"/>
      <c r="S160" s="286"/>
    </row>
    <row r="161" spans="1:19" ht="16.5" customHeight="1">
      <c r="A161" s="534"/>
      <c r="B161" s="338" t="s">
        <v>269</v>
      </c>
      <c r="C161" s="361"/>
      <c r="D161" s="285"/>
      <c r="E161" s="285"/>
      <c r="F161" s="365"/>
      <c r="G161" s="285" t="s">
        <v>605</v>
      </c>
      <c r="H161" s="285"/>
      <c r="I161" s="285"/>
      <c r="J161" s="285"/>
      <c r="K161" s="285"/>
      <c r="L161" s="285"/>
      <c r="M161" s="285"/>
      <c r="N161" s="285"/>
      <c r="O161" s="285"/>
      <c r="P161" s="285"/>
      <c r="Q161" s="285"/>
      <c r="R161" s="285"/>
      <c r="S161" s="286"/>
    </row>
    <row r="162" spans="1:19" ht="16.5" customHeight="1">
      <c r="A162" s="534"/>
      <c r="B162" s="338" t="s">
        <v>270</v>
      </c>
      <c r="C162" s="361"/>
      <c r="D162" s="285"/>
      <c r="E162" s="285"/>
      <c r="F162" s="365"/>
      <c r="G162" s="285" t="s">
        <v>612</v>
      </c>
      <c r="H162" s="285"/>
      <c r="I162" s="305" t="s">
        <v>613</v>
      </c>
      <c r="J162" s="285"/>
      <c r="K162" s="285"/>
      <c r="L162" s="285"/>
      <c r="M162" s="365"/>
      <c r="N162" s="285" t="s">
        <v>612</v>
      </c>
      <c r="O162" s="285"/>
      <c r="P162" s="285"/>
      <c r="Q162" s="285"/>
      <c r="R162" s="285"/>
      <c r="S162" s="286"/>
    </row>
    <row r="163" spans="1:19" ht="16.5" customHeight="1">
      <c r="A163" s="534"/>
      <c r="B163" s="338" t="s">
        <v>614</v>
      </c>
      <c r="C163" s="361"/>
      <c r="D163" s="285"/>
      <c r="E163" s="285"/>
      <c r="F163" s="365"/>
      <c r="G163" s="285" t="s">
        <v>605</v>
      </c>
      <c r="H163" s="285"/>
      <c r="I163" s="302" t="s">
        <v>271</v>
      </c>
      <c r="J163" s="285"/>
      <c r="K163" s="302" t="s">
        <v>272</v>
      </c>
      <c r="L163" s="285"/>
      <c r="M163" s="302" t="s">
        <v>273</v>
      </c>
      <c r="N163" s="285"/>
      <c r="O163" s="285"/>
      <c r="P163" s="285"/>
      <c r="Q163" s="285"/>
      <c r="R163" s="285"/>
      <c r="S163" s="286"/>
    </row>
    <row r="164" spans="1:19" ht="16.5" customHeight="1">
      <c r="A164" s="534"/>
      <c r="B164" s="338" t="s">
        <v>622</v>
      </c>
      <c r="C164" s="361"/>
      <c r="D164" s="285"/>
      <c r="E164" s="285"/>
      <c r="F164" s="365"/>
      <c r="G164" s="285" t="s">
        <v>612</v>
      </c>
      <c r="H164" s="285"/>
      <c r="I164" s="285"/>
      <c r="J164" s="285"/>
      <c r="K164" s="285"/>
      <c r="L164" s="285"/>
      <c r="M164" s="285"/>
      <c r="N164" s="285"/>
      <c r="O164" s="285"/>
      <c r="P164" s="285"/>
      <c r="Q164" s="285"/>
      <c r="R164" s="285"/>
      <c r="S164" s="286"/>
    </row>
    <row r="165" spans="1:19" ht="16.5" customHeight="1">
      <c r="A165" s="534"/>
      <c r="B165" s="338" t="s">
        <v>624</v>
      </c>
      <c r="C165" s="361"/>
      <c r="D165" s="285"/>
      <c r="E165" s="285"/>
      <c r="F165" s="365"/>
      <c r="G165" s="285" t="s">
        <v>274</v>
      </c>
      <c r="H165" s="285"/>
      <c r="I165" s="285"/>
      <c r="J165" s="285"/>
      <c r="K165" s="285"/>
      <c r="L165" s="285"/>
      <c r="M165" s="285"/>
      <c r="N165" s="285"/>
      <c r="O165" s="285"/>
      <c r="P165" s="285"/>
      <c r="Q165" s="285"/>
      <c r="R165" s="285"/>
      <c r="S165" s="286"/>
    </row>
    <row r="166" spans="1:19" ht="16.5" customHeight="1">
      <c r="A166" s="294"/>
      <c r="B166" s="338" t="s">
        <v>628</v>
      </c>
      <c r="C166" s="361"/>
      <c r="D166" s="285"/>
      <c r="E166" s="285"/>
      <c r="F166" s="365"/>
      <c r="G166" s="285" t="s">
        <v>612</v>
      </c>
      <c r="H166" s="285"/>
      <c r="I166" s="285"/>
      <c r="J166" s="285"/>
      <c r="K166" s="285"/>
      <c r="L166" s="285"/>
      <c r="M166" s="285"/>
      <c r="N166" s="285"/>
      <c r="O166" s="285"/>
      <c r="P166" s="285"/>
      <c r="Q166" s="285"/>
      <c r="R166" s="285"/>
      <c r="S166" s="286"/>
    </row>
    <row r="167" spans="1:19" ht="4.5" customHeight="1">
      <c r="A167" s="296"/>
      <c r="B167" s="368"/>
      <c r="C167" s="359"/>
      <c r="D167" s="298"/>
      <c r="E167" s="298"/>
      <c r="F167" s="359"/>
      <c r="G167" s="298"/>
      <c r="H167" s="298"/>
      <c r="I167" s="298"/>
      <c r="J167" s="298"/>
      <c r="K167" s="298"/>
      <c r="L167" s="298"/>
      <c r="M167" s="298"/>
      <c r="N167" s="298"/>
      <c r="O167" s="298"/>
      <c r="P167" s="298"/>
      <c r="Q167" s="298"/>
      <c r="R167" s="298"/>
      <c r="S167" s="299"/>
    </row>
    <row r="168" spans="1:19" ht="4.5" customHeight="1">
      <c r="A168" s="294"/>
      <c r="B168" s="338"/>
      <c r="C168" s="361"/>
      <c r="D168" s="285"/>
      <c r="E168" s="285"/>
      <c r="F168" s="361"/>
      <c r="G168" s="285"/>
      <c r="H168" s="285"/>
      <c r="I168" s="285"/>
      <c r="J168" s="285"/>
      <c r="K168" s="285"/>
      <c r="L168" s="285"/>
      <c r="M168" s="285"/>
      <c r="N168" s="285"/>
      <c r="O168" s="285"/>
      <c r="P168" s="285"/>
      <c r="Q168" s="285"/>
      <c r="R168" s="285"/>
      <c r="S168" s="286"/>
    </row>
    <row r="169" spans="1:19" ht="16.5" customHeight="1">
      <c r="A169" s="534" t="s">
        <v>275</v>
      </c>
      <c r="B169" s="338" t="s">
        <v>276</v>
      </c>
      <c r="C169" s="361"/>
      <c r="D169" s="285"/>
      <c r="E169" s="285"/>
      <c r="F169" s="301"/>
      <c r="G169" s="285" t="s">
        <v>250</v>
      </c>
      <c r="H169" s="18"/>
      <c r="I169" s="285"/>
      <c r="J169" s="285"/>
      <c r="K169" s="285"/>
      <c r="L169" s="285"/>
      <c r="M169" s="331" t="s">
        <v>277</v>
      </c>
      <c r="N169" s="365"/>
      <c r="O169" s="285" t="s">
        <v>278</v>
      </c>
      <c r="P169" s="331"/>
      <c r="Q169" s="285"/>
      <c r="R169" s="285"/>
      <c r="S169" s="286"/>
    </row>
    <row r="170" spans="1:19" ht="16.5" customHeight="1">
      <c r="A170" s="534"/>
      <c r="B170" s="338" t="s">
        <v>279</v>
      </c>
      <c r="C170" s="361"/>
      <c r="D170" s="285"/>
      <c r="E170" s="285"/>
      <c r="F170" s="301"/>
      <c r="G170" s="285" t="s">
        <v>250</v>
      </c>
      <c r="H170" s="18"/>
      <c r="I170" s="285"/>
      <c r="J170" s="285"/>
      <c r="K170" s="285"/>
      <c r="L170" s="285"/>
      <c r="M170" s="331" t="s">
        <v>277</v>
      </c>
      <c r="N170" s="365"/>
      <c r="O170" s="285" t="s">
        <v>278</v>
      </c>
      <c r="P170" s="285"/>
      <c r="Q170" s="331" t="s">
        <v>104</v>
      </c>
      <c r="R170" s="365"/>
      <c r="S170" s="286" t="s">
        <v>105</v>
      </c>
    </row>
    <row r="171" spans="1:19" ht="16.5" customHeight="1">
      <c r="A171" s="534"/>
      <c r="B171" s="338" t="s">
        <v>106</v>
      </c>
      <c r="C171" s="361"/>
      <c r="D171" s="285"/>
      <c r="E171" s="285"/>
      <c r="F171" s="301"/>
      <c r="G171" s="285" t="s">
        <v>250</v>
      </c>
      <c r="H171" s="18"/>
      <c r="I171" s="285"/>
      <c r="J171" s="285"/>
      <c r="K171" s="285"/>
      <c r="L171" s="285"/>
      <c r="M171" s="331" t="s">
        <v>277</v>
      </c>
      <c r="N171" s="365"/>
      <c r="O171" s="285" t="s">
        <v>278</v>
      </c>
      <c r="P171" s="285"/>
      <c r="Q171" s="331" t="s">
        <v>104</v>
      </c>
      <c r="R171" s="365"/>
      <c r="S171" s="286" t="s">
        <v>105</v>
      </c>
    </row>
    <row r="172" spans="1:19" ht="16.5" customHeight="1">
      <c r="A172" s="534"/>
      <c r="B172" s="338" t="s">
        <v>535</v>
      </c>
      <c r="C172" s="361"/>
      <c r="D172" s="285"/>
      <c r="E172" s="285"/>
      <c r="F172" s="301"/>
      <c r="G172" s="285" t="s">
        <v>250</v>
      </c>
      <c r="H172" s="285"/>
      <c r="I172" s="307" t="s">
        <v>107</v>
      </c>
      <c r="J172" s="285"/>
      <c r="K172" s="285"/>
      <c r="L172" s="18"/>
      <c r="M172" s="302" t="s">
        <v>108</v>
      </c>
      <c r="N172" s="285"/>
      <c r="O172" s="285"/>
      <c r="P172" s="285"/>
      <c r="Q172" s="285"/>
      <c r="R172" s="285"/>
      <c r="S172" s="286"/>
    </row>
    <row r="173" spans="1:19" ht="16.5" customHeight="1">
      <c r="A173" s="534"/>
      <c r="B173" s="338" t="s">
        <v>540</v>
      </c>
      <c r="C173" s="361"/>
      <c r="D173" s="285"/>
      <c r="E173" s="285"/>
      <c r="F173" s="301"/>
      <c r="G173" s="285" t="s">
        <v>278</v>
      </c>
      <c r="H173" s="285"/>
      <c r="I173" s="338" t="s">
        <v>543</v>
      </c>
      <c r="J173" s="18"/>
      <c r="K173" s="361"/>
      <c r="L173" s="285"/>
      <c r="M173" s="285"/>
      <c r="N173" s="301"/>
      <c r="O173" s="285" t="s">
        <v>278</v>
      </c>
      <c r="P173" s="285"/>
      <c r="Q173" s="285"/>
      <c r="R173" s="285"/>
      <c r="S173" s="286"/>
    </row>
    <row r="174" spans="1:19" ht="16.5" customHeight="1">
      <c r="A174" s="534"/>
      <c r="B174" s="338" t="s">
        <v>545</v>
      </c>
      <c r="C174" s="361"/>
      <c r="D174" s="285"/>
      <c r="E174" s="285"/>
      <c r="F174" s="301"/>
      <c r="G174" s="285" t="s">
        <v>605</v>
      </c>
      <c r="H174" s="285"/>
      <c r="I174" s="285"/>
      <c r="J174" s="285"/>
      <c r="K174" s="285"/>
      <c r="L174" s="285"/>
      <c r="M174" s="285"/>
      <c r="N174" s="285"/>
      <c r="O174" s="285"/>
      <c r="P174" s="285"/>
      <c r="Q174" s="285"/>
      <c r="R174" s="285"/>
      <c r="S174" s="286"/>
    </row>
    <row r="175" spans="1:19" ht="16.5" customHeight="1">
      <c r="A175" s="534"/>
      <c r="B175" s="338" t="s">
        <v>109</v>
      </c>
      <c r="C175" s="361"/>
      <c r="D175" s="285"/>
      <c r="E175" s="285"/>
      <c r="F175" s="301"/>
      <c r="G175" s="285" t="s">
        <v>278</v>
      </c>
      <c r="H175" s="285"/>
      <c r="I175" s="285"/>
      <c r="J175" s="285"/>
      <c r="K175" s="285"/>
      <c r="L175" s="285"/>
      <c r="M175" s="285"/>
      <c r="N175" s="285"/>
      <c r="O175" s="285"/>
      <c r="P175" s="285"/>
      <c r="Q175" s="285"/>
      <c r="R175" s="285"/>
      <c r="S175" s="286"/>
    </row>
    <row r="176" spans="1:19" ht="16.5" customHeight="1">
      <c r="A176" s="534"/>
      <c r="B176" s="338"/>
      <c r="C176" s="307" t="s">
        <v>110</v>
      </c>
      <c r="D176" s="285"/>
      <c r="E176" s="285"/>
      <c r="F176" s="361"/>
      <c r="G176" s="285"/>
      <c r="H176" s="285"/>
      <c r="I176" s="285"/>
      <c r="J176" s="285"/>
      <c r="K176" s="285"/>
      <c r="L176" s="285"/>
      <c r="M176" s="285"/>
      <c r="N176" s="285"/>
      <c r="O176" s="285"/>
      <c r="P176" s="285"/>
      <c r="Q176" s="285"/>
      <c r="R176" s="285"/>
      <c r="S176" s="286"/>
    </row>
    <row r="177" spans="1:19" ht="4.5" customHeight="1">
      <c r="A177" s="534"/>
      <c r="B177" s="364"/>
      <c r="C177" s="298"/>
      <c r="D177" s="298"/>
      <c r="E177" s="298"/>
      <c r="F177" s="359"/>
      <c r="G177" s="298"/>
      <c r="H177" s="298"/>
      <c r="I177" s="298"/>
      <c r="J177" s="298"/>
      <c r="K177" s="298"/>
      <c r="L177" s="298"/>
      <c r="M177" s="298"/>
      <c r="N177" s="298"/>
      <c r="O177" s="298"/>
      <c r="P177" s="298"/>
      <c r="Q177" s="298"/>
      <c r="R177" s="298"/>
      <c r="S177" s="299"/>
    </row>
    <row r="178" spans="1:19" ht="4.5" customHeight="1">
      <c r="A178" s="534"/>
      <c r="B178" s="338"/>
      <c r="C178" s="361"/>
      <c r="D178" s="285"/>
      <c r="E178" s="285"/>
      <c r="F178" s="361"/>
      <c r="G178" s="285"/>
      <c r="H178" s="285"/>
      <c r="I178" s="285"/>
      <c r="J178" s="285"/>
      <c r="K178" s="285"/>
      <c r="L178" s="285"/>
      <c r="M178" s="285"/>
      <c r="N178" s="285"/>
      <c r="O178" s="285"/>
      <c r="P178" s="285"/>
      <c r="Q178" s="285"/>
      <c r="R178" s="285"/>
      <c r="S178" s="286"/>
    </row>
    <row r="179" spans="1:19" ht="16.5" customHeight="1">
      <c r="A179" s="534"/>
      <c r="B179" s="338" t="s">
        <v>111</v>
      </c>
      <c r="C179" s="361"/>
      <c r="D179" s="285"/>
      <c r="E179" s="285"/>
      <c r="F179" s="301"/>
      <c r="G179" s="285" t="s">
        <v>112</v>
      </c>
      <c r="H179" s="285"/>
      <c r="J179" s="301"/>
      <c r="K179" s="285" t="s">
        <v>113</v>
      </c>
      <c r="L179" s="285"/>
      <c r="M179" s="18"/>
      <c r="N179" s="301"/>
      <c r="O179" s="285" t="s">
        <v>552</v>
      </c>
      <c r="P179" s="285"/>
      <c r="Q179" s="301"/>
      <c r="R179" s="285" t="s">
        <v>553</v>
      </c>
      <c r="S179" s="286"/>
    </row>
    <row r="180" spans="1:19" ht="16.5" customHeight="1">
      <c r="A180" s="534"/>
      <c r="B180" s="338"/>
      <c r="C180" s="361"/>
      <c r="D180" s="285"/>
      <c r="E180" s="285"/>
      <c r="F180" s="285"/>
      <c r="G180" s="285"/>
      <c r="H180" s="285"/>
      <c r="I180" s="285"/>
      <c r="J180" s="285"/>
      <c r="K180" s="301"/>
      <c r="L180" s="285" t="s">
        <v>114</v>
      </c>
      <c r="M180" s="285"/>
      <c r="N180" s="285"/>
      <c r="O180" s="285"/>
      <c r="P180" s="369" t="s">
        <v>115</v>
      </c>
      <c r="Q180" s="301"/>
      <c r="R180" t="s">
        <v>116</v>
      </c>
      <c r="S180" s="286"/>
    </row>
    <row r="181" spans="1:19" ht="16.5" customHeight="1">
      <c r="A181" s="534"/>
      <c r="B181" s="338"/>
      <c r="C181" s="361"/>
      <c r="D181" s="285"/>
      <c r="E181" s="285"/>
      <c r="F181" s="361"/>
      <c r="G181" s="331" t="s">
        <v>117</v>
      </c>
      <c r="H181" s="301"/>
      <c r="I181" s="285" t="s">
        <v>278</v>
      </c>
      <c r="J181" s="330" t="s">
        <v>118</v>
      </c>
      <c r="K181" s="285"/>
      <c r="L181" s="285"/>
      <c r="M181" s="285"/>
      <c r="N181" s="285"/>
      <c r="O181" s="285"/>
      <c r="P181" s="285"/>
      <c r="Q181" s="285"/>
      <c r="R181" s="285"/>
      <c r="S181" s="286"/>
    </row>
    <row r="182" spans="1:19" ht="16.5" customHeight="1">
      <c r="A182" s="534"/>
      <c r="B182" s="338" t="s">
        <v>554</v>
      </c>
      <c r="C182" s="361"/>
      <c r="D182" s="285"/>
      <c r="E182" s="285"/>
      <c r="F182" s="301"/>
      <c r="G182" s="285" t="s">
        <v>250</v>
      </c>
      <c r="H182" s="18"/>
      <c r="I182" s="285"/>
      <c r="J182" s="331" t="s">
        <v>117</v>
      </c>
      <c r="K182" s="301"/>
      <c r="L182" s="285" t="s">
        <v>278</v>
      </c>
      <c r="M182" s="330" t="s">
        <v>118</v>
      </c>
      <c r="N182" s="285"/>
      <c r="O182" s="285"/>
      <c r="P182" s="285"/>
      <c r="Q182" s="285"/>
      <c r="R182" s="285"/>
      <c r="S182" s="286"/>
    </row>
    <row r="183" spans="1:19" ht="16.5" customHeight="1">
      <c r="A183" s="534"/>
      <c r="B183" s="302" t="s">
        <v>119</v>
      </c>
      <c r="C183" s="361"/>
      <c r="D183" s="302" t="s">
        <v>120</v>
      </c>
      <c r="E183" s="285"/>
      <c r="F183" s="361"/>
      <c r="G183" s="285"/>
      <c r="H183" s="302" t="s">
        <v>121</v>
      </c>
      <c r="I183" s="285"/>
      <c r="J183" s="285"/>
      <c r="K183" s="285"/>
      <c r="L183" s="285"/>
      <c r="M183" s="302" t="s">
        <v>122</v>
      </c>
      <c r="N183" s="285"/>
      <c r="O183" s="285"/>
      <c r="P183" s="285"/>
      <c r="Q183" s="285"/>
      <c r="R183" s="285"/>
      <c r="S183" s="286"/>
    </row>
    <row r="184" spans="1:19" ht="16.5" customHeight="1">
      <c r="A184" s="534"/>
      <c r="B184" s="338" t="s">
        <v>560</v>
      </c>
      <c r="C184" s="361"/>
      <c r="D184" s="285"/>
      <c r="E184" s="285"/>
      <c r="F184" s="301"/>
      <c r="G184" s="285" t="s">
        <v>250</v>
      </c>
      <c r="H184" s="285"/>
      <c r="I184" s="285"/>
      <c r="J184" s="285"/>
      <c r="K184" s="285"/>
      <c r="L184" s="285"/>
      <c r="M184" s="285"/>
      <c r="N184" s="285"/>
      <c r="O184" s="285"/>
      <c r="P184" s="285"/>
      <c r="Q184" s="285"/>
      <c r="R184" s="285"/>
      <c r="S184" s="286"/>
    </row>
    <row r="185" spans="1:19" ht="16.5" customHeight="1">
      <c r="A185" s="534"/>
      <c r="B185" s="338" t="s">
        <v>562</v>
      </c>
      <c r="C185" s="361"/>
      <c r="D185" s="285"/>
      <c r="E185" s="285"/>
      <c r="F185" s="301"/>
      <c r="G185" s="285" t="s">
        <v>250</v>
      </c>
      <c r="H185" s="285"/>
      <c r="I185" s="301"/>
      <c r="J185" s="285" t="s">
        <v>123</v>
      </c>
      <c r="K185" s="285"/>
      <c r="L185" s="285"/>
      <c r="M185" s="285"/>
      <c r="N185" s="285"/>
      <c r="O185" s="285"/>
      <c r="P185" s="285"/>
      <c r="Q185" s="285"/>
      <c r="R185" s="285"/>
      <c r="S185" s="286"/>
    </row>
    <row r="186" spans="1:19" ht="4.5" customHeight="1">
      <c r="A186" s="296"/>
      <c r="B186" s="368"/>
      <c r="C186" s="359"/>
      <c r="D186" s="298"/>
      <c r="E186" s="298"/>
      <c r="F186" s="359"/>
      <c r="G186" s="298"/>
      <c r="H186" s="298"/>
      <c r="I186" s="298"/>
      <c r="J186" s="298"/>
      <c r="K186" s="298"/>
      <c r="L186" s="298"/>
      <c r="M186" s="298"/>
      <c r="N186" s="298"/>
      <c r="O186" s="298"/>
      <c r="P186" s="298"/>
      <c r="Q186" s="298"/>
      <c r="R186" s="298"/>
      <c r="S186" s="299"/>
    </row>
    <row r="187" spans="1:19" ht="4.5" customHeight="1">
      <c r="A187" s="532" t="s">
        <v>672</v>
      </c>
      <c r="B187" s="338"/>
      <c r="C187" s="361"/>
      <c r="D187" s="285"/>
      <c r="E187" s="285"/>
      <c r="F187" s="361"/>
      <c r="G187" s="285"/>
      <c r="H187" s="285"/>
      <c r="I187" s="285"/>
      <c r="J187" s="285"/>
      <c r="K187" s="285"/>
      <c r="L187" s="285"/>
      <c r="M187" s="285"/>
      <c r="N187" s="285"/>
      <c r="O187" s="285"/>
      <c r="P187" s="285"/>
      <c r="Q187" s="285"/>
      <c r="R187" s="285"/>
      <c r="S187" s="286"/>
    </row>
    <row r="188" spans="1:19" ht="16.5" customHeight="1">
      <c r="A188" s="532"/>
      <c r="B188" s="330" t="s">
        <v>124</v>
      </c>
      <c r="C188" s="361"/>
      <c r="D188" s="285"/>
      <c r="E188" s="285"/>
      <c r="F188" s="361"/>
      <c r="G188" s="285"/>
      <c r="H188" s="285"/>
      <c r="I188" s="285"/>
      <c r="J188" s="285"/>
      <c r="K188" s="285"/>
      <c r="L188" s="285"/>
      <c r="M188" s="285"/>
      <c r="N188" s="285"/>
      <c r="O188" s="285"/>
      <c r="P188" s="285"/>
      <c r="Q188" s="285"/>
      <c r="R188" s="285"/>
      <c r="S188" s="286"/>
    </row>
    <row r="189" spans="1:19" ht="16.5" customHeight="1">
      <c r="A189" s="532"/>
      <c r="B189" s="330" t="s">
        <v>125</v>
      </c>
      <c r="C189" s="361"/>
      <c r="D189" s="285"/>
      <c r="E189" s="285"/>
      <c r="F189" s="361"/>
      <c r="G189" s="285"/>
      <c r="H189" s="285"/>
      <c r="I189" s="285"/>
      <c r="J189" s="285"/>
      <c r="K189" s="285"/>
      <c r="L189" s="285"/>
      <c r="M189" s="285"/>
      <c r="N189" s="285"/>
      <c r="O189" s="285"/>
      <c r="P189" s="285"/>
      <c r="Q189" s="285"/>
      <c r="R189" s="285"/>
      <c r="S189" s="286"/>
    </row>
    <row r="190" spans="1:19" ht="16.5" customHeight="1">
      <c r="A190" s="532"/>
      <c r="B190" s="330" t="s">
        <v>126</v>
      </c>
      <c r="C190" s="361"/>
      <c r="D190" s="285"/>
      <c r="E190" s="285"/>
      <c r="F190" s="361"/>
      <c r="G190" s="285"/>
      <c r="H190" s="285"/>
      <c r="I190" s="285"/>
      <c r="J190" s="285"/>
      <c r="K190" s="285"/>
      <c r="L190" s="285"/>
      <c r="M190" s="285"/>
      <c r="N190" s="285"/>
      <c r="O190" s="285"/>
      <c r="P190" s="285"/>
      <c r="Q190" s="285"/>
      <c r="R190" s="285"/>
      <c r="S190" s="286"/>
    </row>
    <row r="191" spans="1:19" ht="16.5" customHeight="1">
      <c r="A191" s="532"/>
      <c r="B191" s="365"/>
      <c r="C191" s="366" t="s">
        <v>127</v>
      </c>
      <c r="D191" s="285"/>
      <c r="E191" s="18"/>
      <c r="H191" s="285" t="s">
        <v>128</v>
      </c>
      <c r="I191" s="18"/>
      <c r="J191" s="365"/>
      <c r="K191" s="285" t="s">
        <v>129</v>
      </c>
      <c r="L191" s="285" t="s">
        <v>130</v>
      </c>
      <c r="M191" s="285"/>
      <c r="N191" s="285"/>
      <c r="O191" s="285"/>
      <c r="P191" s="18"/>
      <c r="Q191" s="301"/>
      <c r="R191" s="285" t="s">
        <v>278</v>
      </c>
      <c r="S191" s="286"/>
    </row>
    <row r="192" spans="1:19" ht="4.5" customHeight="1">
      <c r="A192" s="532"/>
      <c r="B192" s="338"/>
      <c r="C192" s="361"/>
      <c r="D192" s="285"/>
      <c r="E192" s="285"/>
      <c r="F192" s="361"/>
      <c r="G192" s="285"/>
      <c r="H192" s="285"/>
      <c r="I192" s="285"/>
      <c r="J192" s="285"/>
      <c r="K192" s="285"/>
      <c r="L192" s="285"/>
      <c r="M192" s="285"/>
      <c r="N192" s="285"/>
      <c r="O192" s="285"/>
      <c r="P192" s="285"/>
      <c r="Q192" s="285"/>
      <c r="R192" s="285"/>
      <c r="S192" s="286"/>
    </row>
    <row r="193" spans="1:19" ht="16.5" customHeight="1">
      <c r="A193" s="532"/>
      <c r="B193" s="338" t="s">
        <v>131</v>
      </c>
      <c r="C193" s="361"/>
      <c r="D193" s="285"/>
      <c r="E193" s="285" t="s">
        <v>132</v>
      </c>
      <c r="F193" s="365"/>
      <c r="G193" s="285"/>
      <c r="H193" s="285" t="s">
        <v>130</v>
      </c>
      <c r="I193" s="285"/>
      <c r="J193" s="285"/>
      <c r="K193" s="285"/>
      <c r="L193" s="18"/>
      <c r="M193" s="301"/>
      <c r="N193" s="285" t="s">
        <v>278</v>
      </c>
      <c r="O193" s="285"/>
      <c r="P193" s="285"/>
      <c r="Q193" s="285"/>
      <c r="R193" s="285"/>
      <c r="S193" s="286"/>
    </row>
    <row r="194" spans="1:19" ht="16.5" customHeight="1">
      <c r="A194" s="532"/>
      <c r="B194" s="338"/>
      <c r="C194" s="361"/>
      <c r="D194" s="285"/>
      <c r="E194" s="285" t="s">
        <v>133</v>
      </c>
      <c r="F194" s="365"/>
      <c r="G194" s="285"/>
      <c r="H194" s="285" t="s">
        <v>130</v>
      </c>
      <c r="I194" s="285"/>
      <c r="J194" s="285"/>
      <c r="K194" s="285"/>
      <c r="L194" s="18"/>
      <c r="M194" s="301"/>
      <c r="N194" s="285" t="s">
        <v>278</v>
      </c>
      <c r="O194" s="285"/>
      <c r="P194" s="285"/>
      <c r="Q194" s="285"/>
      <c r="R194" s="285"/>
      <c r="S194" s="286"/>
    </row>
    <row r="195" spans="1:19" ht="16.5" customHeight="1">
      <c r="A195" s="532"/>
      <c r="B195" s="285"/>
      <c r="C195" s="285"/>
      <c r="D195" s="285"/>
      <c r="E195" s="285" t="s">
        <v>134</v>
      </c>
      <c r="F195" s="365"/>
      <c r="G195" s="285"/>
      <c r="H195" s="285" t="s">
        <v>130</v>
      </c>
      <c r="I195" s="285"/>
      <c r="J195" s="285"/>
      <c r="K195" s="285"/>
      <c r="L195" s="18"/>
      <c r="M195" s="301"/>
      <c r="N195" s="285" t="s">
        <v>278</v>
      </c>
      <c r="O195" s="285"/>
      <c r="P195" s="285"/>
      <c r="Q195" s="285"/>
      <c r="R195" s="285"/>
      <c r="S195" s="286"/>
    </row>
    <row r="196" spans="1:19" ht="16.5" customHeight="1">
      <c r="A196" s="532"/>
      <c r="B196" s="285"/>
      <c r="C196" s="285"/>
      <c r="D196" s="285"/>
      <c r="E196" s="285" t="s">
        <v>135</v>
      </c>
      <c r="F196" s="365"/>
      <c r="G196" s="285"/>
      <c r="H196" s="285" t="s">
        <v>130</v>
      </c>
      <c r="I196" s="285"/>
      <c r="J196" s="285"/>
      <c r="K196" s="285"/>
      <c r="L196" s="18"/>
      <c r="M196" s="301"/>
      <c r="N196" s="285" t="s">
        <v>278</v>
      </c>
      <c r="O196" s="285"/>
      <c r="P196" s="285"/>
      <c r="Q196" s="285"/>
      <c r="R196" s="285"/>
      <c r="S196" s="286"/>
    </row>
    <row r="197" spans="1:19" ht="16.5" customHeight="1">
      <c r="A197" s="532"/>
      <c r="B197" s="285"/>
      <c r="C197" s="285"/>
      <c r="D197" s="285"/>
      <c r="E197" s="285" t="s">
        <v>136</v>
      </c>
      <c r="F197" s="365"/>
      <c r="G197" s="285"/>
      <c r="H197" s="285" t="s">
        <v>130</v>
      </c>
      <c r="I197" s="285"/>
      <c r="J197" s="285"/>
      <c r="K197" s="285"/>
      <c r="L197" s="18"/>
      <c r="M197" s="301"/>
      <c r="N197" s="285" t="s">
        <v>278</v>
      </c>
      <c r="O197" s="285"/>
      <c r="P197" s="285"/>
      <c r="Q197" s="285"/>
      <c r="R197" s="285"/>
      <c r="S197" s="286"/>
    </row>
    <row r="198" spans="1:19" ht="16.5" customHeight="1">
      <c r="A198" s="532"/>
      <c r="B198" s="285"/>
      <c r="C198" s="285"/>
      <c r="D198" s="285"/>
      <c r="E198" s="285" t="s">
        <v>137</v>
      </c>
      <c r="F198" s="365"/>
      <c r="G198" s="285"/>
      <c r="H198" s="285" t="s">
        <v>130</v>
      </c>
      <c r="I198" s="285"/>
      <c r="J198" s="285"/>
      <c r="K198" s="285"/>
      <c r="L198" s="18"/>
      <c r="M198" s="301"/>
      <c r="N198" s="285" t="s">
        <v>278</v>
      </c>
      <c r="O198" s="285"/>
      <c r="P198" s="285"/>
      <c r="Q198" s="285"/>
      <c r="R198" s="285"/>
      <c r="S198" s="286"/>
    </row>
    <row r="199" spans="1:19" ht="16.5" customHeight="1">
      <c r="A199" s="532"/>
      <c r="B199" s="285"/>
      <c r="C199" s="285"/>
      <c r="D199" s="285"/>
      <c r="E199" s="285" t="s">
        <v>138</v>
      </c>
      <c r="F199" s="365"/>
      <c r="G199" s="285"/>
      <c r="H199" s="285" t="s">
        <v>130</v>
      </c>
      <c r="I199" s="285"/>
      <c r="J199" s="285"/>
      <c r="K199" s="285"/>
      <c r="L199" s="18"/>
      <c r="M199" s="301"/>
      <c r="N199" s="285" t="s">
        <v>278</v>
      </c>
      <c r="O199" s="285"/>
      <c r="P199" s="285"/>
      <c r="Q199" s="285"/>
      <c r="R199" s="285"/>
      <c r="S199" s="286"/>
    </row>
    <row r="200" spans="1:19" ht="4.5" customHeight="1">
      <c r="A200" s="532"/>
      <c r="B200" s="285"/>
      <c r="C200" s="285"/>
      <c r="D200" s="285"/>
      <c r="E200" s="285"/>
      <c r="F200" s="285"/>
      <c r="G200" s="285"/>
      <c r="H200" s="285"/>
      <c r="I200" s="285"/>
      <c r="J200" s="285"/>
      <c r="K200" s="285"/>
      <c r="L200" s="285"/>
      <c r="M200" s="285"/>
      <c r="N200" s="285"/>
      <c r="O200" s="285"/>
      <c r="P200" s="285"/>
      <c r="Q200" s="285"/>
      <c r="R200" s="285"/>
      <c r="S200" s="286"/>
    </row>
    <row r="201" spans="1:19" ht="4.5" customHeight="1">
      <c r="A201" s="334"/>
      <c r="B201" s="283"/>
      <c r="C201" s="283"/>
      <c r="D201" s="283"/>
      <c r="E201" s="283"/>
      <c r="F201" s="283"/>
      <c r="G201" s="283"/>
      <c r="H201" s="283"/>
      <c r="I201" s="283"/>
      <c r="J201" s="283"/>
      <c r="K201" s="283"/>
      <c r="L201" s="283"/>
      <c r="M201" s="283"/>
      <c r="N201" s="283"/>
      <c r="O201" s="283"/>
      <c r="P201" s="283"/>
      <c r="Q201" s="283"/>
      <c r="R201" s="283"/>
      <c r="S201" s="283"/>
    </row>
    <row r="202" spans="1:19" ht="4.5" customHeight="1">
      <c r="A202" s="335"/>
      <c r="B202" s="298"/>
      <c r="C202" s="298"/>
      <c r="D202" s="298"/>
      <c r="E202" s="298"/>
      <c r="F202" s="298"/>
      <c r="G202" s="298"/>
      <c r="H202" s="298"/>
      <c r="I202" s="298"/>
      <c r="J202" s="298"/>
      <c r="K202" s="298"/>
      <c r="L202" s="298"/>
      <c r="M202" s="298"/>
      <c r="N202" s="298"/>
      <c r="O202" s="298"/>
      <c r="P202" s="298"/>
      <c r="Q202" s="298"/>
      <c r="R202" s="298"/>
      <c r="S202" s="298"/>
    </row>
    <row r="203" spans="1:19" ht="4.5" customHeight="1">
      <c r="A203" s="336"/>
      <c r="B203" s="283"/>
      <c r="C203" s="283"/>
      <c r="D203" s="283"/>
      <c r="E203" s="283"/>
      <c r="F203" s="283"/>
      <c r="G203" s="283"/>
      <c r="H203" s="283"/>
      <c r="I203" s="283"/>
      <c r="J203" s="283"/>
      <c r="K203" s="283"/>
      <c r="L203" s="283"/>
      <c r="M203" s="283"/>
      <c r="N203" s="283"/>
      <c r="O203" s="283"/>
      <c r="P203" s="283"/>
      <c r="Q203" s="283"/>
      <c r="R203" s="283"/>
      <c r="S203" s="284"/>
    </row>
    <row r="204" spans="1:19" ht="16.5" customHeight="1">
      <c r="A204" s="534" t="s">
        <v>674</v>
      </c>
      <c r="B204" s="338" t="s">
        <v>630</v>
      </c>
      <c r="C204" s="361"/>
      <c r="D204" s="285"/>
      <c r="E204" s="285"/>
      <c r="F204" s="301"/>
      <c r="G204" s="285" t="s">
        <v>605</v>
      </c>
      <c r="H204" s="285"/>
      <c r="I204" s="285"/>
      <c r="J204" s="285"/>
      <c r="K204" s="285"/>
      <c r="L204" s="285"/>
      <c r="M204" s="285"/>
      <c r="N204" s="285"/>
      <c r="O204" s="285"/>
      <c r="P204" s="285"/>
      <c r="Q204" s="285"/>
      <c r="R204" s="285"/>
      <c r="S204" s="286"/>
    </row>
    <row r="205" spans="1:19" ht="16.5" customHeight="1">
      <c r="A205" s="534"/>
      <c r="B205" s="338" t="s">
        <v>139</v>
      </c>
      <c r="C205" s="361"/>
      <c r="D205" s="285"/>
      <c r="E205" s="285"/>
      <c r="F205" s="301"/>
      <c r="G205" s="285" t="s">
        <v>632</v>
      </c>
      <c r="H205" s="285"/>
      <c r="I205" s="285"/>
      <c r="J205" s="285"/>
      <c r="K205" s="285"/>
      <c r="L205" s="285"/>
      <c r="M205" s="285"/>
      <c r="N205" s="285"/>
      <c r="O205" s="285"/>
      <c r="P205" s="285"/>
      <c r="Q205" s="285"/>
      <c r="R205" s="285"/>
      <c r="S205" s="286"/>
    </row>
    <row r="206" spans="1:19" ht="16.5" customHeight="1">
      <c r="A206" s="534"/>
      <c r="B206" s="338" t="s">
        <v>633</v>
      </c>
      <c r="C206" s="361"/>
      <c r="D206" s="285"/>
      <c r="E206" s="285"/>
      <c r="F206" s="301"/>
      <c r="G206" s="285" t="s">
        <v>632</v>
      </c>
      <c r="H206" s="285"/>
      <c r="I206" s="285"/>
      <c r="J206" s="285"/>
      <c r="K206" s="285"/>
      <c r="L206" s="285"/>
      <c r="M206" s="285"/>
      <c r="N206" s="285"/>
      <c r="O206" s="285"/>
      <c r="P206" s="285"/>
      <c r="Q206" s="285"/>
      <c r="R206" s="285"/>
      <c r="S206" s="286"/>
    </row>
    <row r="207" spans="1:19" ht="16.5" customHeight="1">
      <c r="A207" s="534"/>
      <c r="B207" s="338" t="s">
        <v>566</v>
      </c>
      <c r="C207" s="361"/>
      <c r="D207" s="285"/>
      <c r="E207" s="285"/>
      <c r="F207" s="301"/>
      <c r="G207" s="285" t="s">
        <v>250</v>
      </c>
      <c r="H207" s="285"/>
      <c r="I207" s="301"/>
      <c r="J207" s="285" t="s">
        <v>278</v>
      </c>
      <c r="K207" s="285"/>
      <c r="L207" s="285"/>
      <c r="M207" s="285"/>
      <c r="N207" s="285"/>
      <c r="O207" s="285"/>
      <c r="P207" s="285"/>
      <c r="Q207" s="285"/>
      <c r="R207" s="285"/>
      <c r="S207" s="286"/>
    </row>
    <row r="208" spans="1:19" ht="16.5" customHeight="1">
      <c r="A208" s="534"/>
      <c r="B208" s="370" t="s">
        <v>567</v>
      </c>
      <c r="C208" s="285"/>
      <c r="D208" s="285"/>
      <c r="E208" s="285"/>
      <c r="F208" s="301"/>
      <c r="G208" s="285" t="s">
        <v>250</v>
      </c>
      <c r="H208" s="285"/>
      <c r="I208" s="301"/>
      <c r="J208" s="285" t="s">
        <v>278</v>
      </c>
      <c r="K208" s="285"/>
      <c r="L208" s="285"/>
      <c r="M208" s="285"/>
      <c r="N208" s="285"/>
      <c r="O208" s="285"/>
      <c r="P208" s="285"/>
      <c r="Q208" s="285"/>
      <c r="R208" s="285"/>
      <c r="S208" s="286"/>
    </row>
    <row r="209" spans="1:19" ht="16.5" customHeight="1">
      <c r="A209" s="534"/>
      <c r="B209" s="370" t="s">
        <v>568</v>
      </c>
      <c r="C209" s="285"/>
      <c r="D209" s="285"/>
      <c r="E209" s="285"/>
      <c r="F209" s="301"/>
      <c r="G209" s="285" t="s">
        <v>250</v>
      </c>
      <c r="H209" s="285"/>
      <c r="I209" s="285"/>
      <c r="J209" s="285"/>
      <c r="K209" s="285"/>
      <c r="L209" s="285"/>
      <c r="M209" s="285"/>
      <c r="N209" s="285"/>
      <c r="O209" s="285"/>
      <c r="P209" s="285"/>
      <c r="Q209" s="285"/>
      <c r="R209" s="285"/>
      <c r="S209" s="286"/>
    </row>
    <row r="210" spans="1:19" ht="16.5" customHeight="1">
      <c r="A210" s="534"/>
      <c r="B210" s="370" t="s">
        <v>140</v>
      </c>
      <c r="C210" s="285"/>
      <c r="D210" s="285"/>
      <c r="E210" s="285"/>
      <c r="F210" s="301"/>
      <c r="G210" s="285" t="s">
        <v>141</v>
      </c>
      <c r="H210" s="285"/>
      <c r="I210" s="285"/>
      <c r="J210" s="301"/>
      <c r="K210" s="285" t="s">
        <v>142</v>
      </c>
      <c r="L210" s="302" t="s">
        <v>143</v>
      </c>
      <c r="M210" s="285"/>
      <c r="N210" s="285"/>
      <c r="O210" s="285"/>
      <c r="P210" s="285"/>
      <c r="Q210" s="285"/>
      <c r="R210" s="285"/>
      <c r="S210" s="286"/>
    </row>
    <row r="211" spans="1:19" ht="16.5" customHeight="1">
      <c r="A211" s="534"/>
      <c r="B211" s="370"/>
      <c r="C211" s="285"/>
      <c r="D211" s="285"/>
      <c r="E211" s="285"/>
      <c r="F211" s="301"/>
      <c r="G211" s="285" t="s">
        <v>144</v>
      </c>
      <c r="H211" s="285"/>
      <c r="I211" s="285"/>
      <c r="J211" s="285"/>
      <c r="K211" s="285"/>
      <c r="L211" s="285"/>
      <c r="M211" s="285"/>
      <c r="N211" s="285"/>
      <c r="O211" s="285"/>
      <c r="P211" s="285"/>
      <c r="Q211" s="285"/>
      <c r="R211" s="285"/>
      <c r="S211" s="286"/>
    </row>
    <row r="212" spans="1:19" ht="16.5" customHeight="1">
      <c r="A212" s="534"/>
      <c r="B212" s="285" t="s">
        <v>145</v>
      </c>
      <c r="C212" s="285"/>
      <c r="D212" s="285"/>
      <c r="E212" s="285"/>
      <c r="F212" s="285"/>
      <c r="G212" s="285"/>
      <c r="H212" s="285"/>
      <c r="I212" s="285"/>
      <c r="J212" s="285"/>
      <c r="K212" s="285"/>
      <c r="L212" s="285"/>
      <c r="M212" s="285"/>
      <c r="N212" s="285"/>
      <c r="O212" s="285"/>
      <c r="P212" s="285"/>
      <c r="Q212" s="285"/>
      <c r="R212" s="285"/>
      <c r="S212" s="286"/>
    </row>
    <row r="213" spans="1:19" ht="16.5" customHeight="1">
      <c r="A213" s="534"/>
      <c r="B213" s="285"/>
      <c r="C213" s="285"/>
      <c r="D213" s="285"/>
      <c r="E213" s="285"/>
      <c r="F213" s="285"/>
      <c r="G213" s="285"/>
      <c r="H213" s="285"/>
      <c r="I213" s="285"/>
      <c r="J213" s="285"/>
      <c r="K213" s="285"/>
      <c r="L213" s="285"/>
      <c r="M213" s="285"/>
      <c r="N213" s="285"/>
      <c r="O213" s="285"/>
      <c r="P213" s="285"/>
      <c r="Q213" s="285"/>
      <c r="R213" s="285"/>
      <c r="S213" s="286"/>
    </row>
    <row r="214" spans="1:19" ht="16.5" customHeight="1">
      <c r="A214" s="534"/>
      <c r="B214" s="371"/>
      <c r="C214" s="308"/>
      <c r="D214" s="308"/>
      <c r="E214" s="308"/>
      <c r="F214" s="308"/>
      <c r="G214" s="308"/>
      <c r="H214" s="308"/>
      <c r="I214" s="308"/>
      <c r="J214" s="308"/>
      <c r="K214" s="308"/>
      <c r="L214" s="308"/>
      <c r="M214" s="308"/>
      <c r="N214" s="308"/>
      <c r="O214" s="308"/>
      <c r="P214" s="308"/>
      <c r="Q214" s="308"/>
      <c r="R214" s="308"/>
      <c r="S214" s="309"/>
    </row>
    <row r="215" spans="1:19" ht="16.5" customHeight="1">
      <c r="A215" s="534"/>
      <c r="B215" s="371"/>
      <c r="C215" s="308"/>
      <c r="D215" s="308"/>
      <c r="E215" s="308"/>
      <c r="F215" s="308"/>
      <c r="G215" s="308"/>
      <c r="H215" s="308"/>
      <c r="I215" s="308"/>
      <c r="J215" s="308"/>
      <c r="K215" s="308"/>
      <c r="L215" s="308"/>
      <c r="M215" s="308"/>
      <c r="N215" s="308"/>
      <c r="O215" s="308"/>
      <c r="P215" s="308"/>
      <c r="Q215" s="308"/>
      <c r="R215" s="308"/>
      <c r="S215" s="309"/>
    </row>
    <row r="216" spans="1:19" ht="16.5" customHeight="1">
      <c r="A216" s="534"/>
      <c r="B216" s="372"/>
      <c r="C216" s="287"/>
      <c r="D216" s="287"/>
      <c r="E216" s="287"/>
      <c r="F216" s="287"/>
      <c r="G216" s="287"/>
      <c r="H216" s="287"/>
      <c r="I216" s="287"/>
      <c r="J216" s="287"/>
      <c r="K216" s="287"/>
      <c r="L216" s="287"/>
      <c r="M216" s="287"/>
      <c r="N216" s="287"/>
      <c r="O216" s="287"/>
      <c r="P216" s="287"/>
      <c r="Q216" s="287"/>
      <c r="R216" s="287"/>
      <c r="S216" s="297"/>
    </row>
    <row r="217" spans="1:19" ht="4.5" customHeight="1">
      <c r="A217" s="300"/>
      <c r="B217" s="285"/>
      <c r="C217" s="285"/>
      <c r="D217" s="285"/>
      <c r="E217" s="285"/>
      <c r="F217" s="285"/>
      <c r="G217" s="285"/>
      <c r="H217" s="285"/>
      <c r="I217" s="285"/>
      <c r="J217" s="285"/>
      <c r="K217" s="285"/>
      <c r="L217" s="285"/>
      <c r="M217" s="285"/>
      <c r="N217" s="285"/>
      <c r="O217" s="285"/>
      <c r="P217" s="285"/>
      <c r="Q217" s="285"/>
      <c r="R217" s="285"/>
      <c r="S217" s="286"/>
    </row>
    <row r="218" spans="1:19" ht="4.5" customHeight="1">
      <c r="A218" s="336"/>
      <c r="B218" s="283"/>
      <c r="C218" s="283"/>
      <c r="D218" s="283"/>
      <c r="E218" s="283"/>
      <c r="F218" s="283"/>
      <c r="G218" s="283"/>
      <c r="H218" s="283"/>
      <c r="I218" s="283"/>
      <c r="J218" s="283"/>
      <c r="K218" s="283"/>
      <c r="L218" s="283"/>
      <c r="M218" s="283"/>
      <c r="N218" s="283"/>
      <c r="O218" s="283"/>
      <c r="P218" s="283"/>
      <c r="Q218" s="283"/>
      <c r="R218" s="283"/>
      <c r="S218" s="284"/>
    </row>
    <row r="219" spans="1:19" ht="16.5" customHeight="1">
      <c r="A219" s="534" t="s">
        <v>718</v>
      </c>
      <c r="B219" s="330" t="s">
        <v>146</v>
      </c>
      <c r="C219" s="285"/>
      <c r="D219" s="285"/>
      <c r="E219" s="285"/>
      <c r="F219" s="285"/>
      <c r="G219" s="285"/>
      <c r="H219" s="285"/>
      <c r="I219" s="285"/>
      <c r="J219" s="285"/>
      <c r="K219" s="373" t="s">
        <v>147</v>
      </c>
      <c r="L219" s="285"/>
      <c r="M219" s="285"/>
      <c r="N219" s="285"/>
      <c r="O219" s="285"/>
      <c r="P219" s="285"/>
      <c r="Q219" s="285"/>
      <c r="R219" s="285"/>
      <c r="S219" s="286"/>
    </row>
    <row r="220" spans="1:19" ht="16.5" customHeight="1">
      <c r="A220" s="534"/>
      <c r="B220" s="330" t="s">
        <v>148</v>
      </c>
      <c r="C220" s="285"/>
      <c r="D220" s="285"/>
      <c r="F220" s="285"/>
      <c r="G220" s="285"/>
      <c r="H220" s="285"/>
      <c r="I220" s="285"/>
      <c r="J220" s="288"/>
      <c r="K220" s="373" t="s">
        <v>149</v>
      </c>
      <c r="L220" s="285"/>
      <c r="M220" s="285"/>
      <c r="N220" s="285"/>
      <c r="O220" s="285"/>
      <c r="P220" s="285"/>
      <c r="Q220" s="285"/>
      <c r="R220" s="285"/>
      <c r="S220" s="286"/>
    </row>
    <row r="221" spans="1:19" ht="16.5" customHeight="1">
      <c r="A221" s="534"/>
      <c r="B221" s="330" t="s">
        <v>150</v>
      </c>
      <c r="C221" s="285"/>
      <c r="D221" s="285"/>
      <c r="E221" s="285"/>
      <c r="F221" s="285"/>
      <c r="G221" s="285"/>
      <c r="H221" s="285"/>
      <c r="I221" s="285"/>
      <c r="J221" s="285"/>
      <c r="K221" s="285"/>
      <c r="L221" s="285"/>
      <c r="M221" s="285"/>
      <c r="N221" s="285"/>
      <c r="O221" s="285"/>
      <c r="P221" s="285"/>
      <c r="Q221" s="285"/>
      <c r="R221" s="285"/>
      <c r="S221" s="286"/>
    </row>
    <row r="222" spans="1:19" ht="16.5" customHeight="1">
      <c r="A222" s="534"/>
      <c r="B222" s="288" t="s">
        <v>151</v>
      </c>
      <c r="C222" s="285"/>
      <c r="D222" s="285"/>
      <c r="E222" s="285"/>
      <c r="F222" s="285"/>
      <c r="G222" s="18"/>
      <c r="H222" s="291" t="s">
        <v>377</v>
      </c>
      <c r="I222" s="374" t="s">
        <v>152</v>
      </c>
      <c r="J222" s="18"/>
      <c r="K222" s="285"/>
      <c r="L222" s="285"/>
      <c r="M222" s="285"/>
      <c r="N222" s="285"/>
      <c r="O222" s="285"/>
      <c r="P222" s="285"/>
      <c r="Q222" s="285"/>
      <c r="R222" s="285"/>
      <c r="S222" s="286"/>
    </row>
    <row r="223" spans="1:19" ht="16.5" customHeight="1">
      <c r="A223" s="534"/>
      <c r="B223" s="288" t="s">
        <v>153</v>
      </c>
      <c r="C223" s="285"/>
      <c r="D223" s="285"/>
      <c r="E223" s="18"/>
      <c r="F223" s="18"/>
      <c r="G223" s="18"/>
      <c r="H223" s="291" t="s">
        <v>377</v>
      </c>
      <c r="I223" s="374" t="s">
        <v>152</v>
      </c>
      <c r="J223" s="285"/>
      <c r="K223" s="285"/>
      <c r="L223" s="285"/>
      <c r="M223" s="285"/>
      <c r="N223" s="285"/>
      <c r="O223" s="285"/>
      <c r="P223" s="285"/>
      <c r="Q223" s="285"/>
      <c r="R223" s="285"/>
      <c r="S223" s="286"/>
    </row>
    <row r="224" spans="1:19" ht="16.5" customHeight="1">
      <c r="A224" s="534"/>
      <c r="B224" s="288" t="s">
        <v>154</v>
      </c>
      <c r="C224" s="285"/>
      <c r="D224" s="285"/>
      <c r="E224" s="285"/>
      <c r="F224" s="285"/>
      <c r="G224" s="18"/>
      <c r="H224" s="291" t="s">
        <v>377</v>
      </c>
      <c r="I224" s="374" t="s">
        <v>152</v>
      </c>
      <c r="J224" s="285"/>
      <c r="K224" s="285"/>
      <c r="L224" s="285"/>
      <c r="M224" s="285"/>
      <c r="N224" s="285"/>
      <c r="O224" s="285"/>
      <c r="P224" s="285"/>
      <c r="Q224" s="285"/>
      <c r="R224" s="285"/>
      <c r="S224" s="286"/>
    </row>
    <row r="225" spans="1:19" ht="16.5" customHeight="1">
      <c r="A225" s="534"/>
      <c r="B225" s="291" t="s">
        <v>155</v>
      </c>
      <c r="C225" s="285"/>
      <c r="D225" s="349" t="s">
        <v>156</v>
      </c>
      <c r="E225" s="285"/>
      <c r="F225" s="285"/>
      <c r="G225" s="285"/>
      <c r="H225" s="301"/>
      <c r="I225" s="285"/>
      <c r="J225" s="285"/>
      <c r="K225" s="285"/>
      <c r="L225" s="285"/>
      <c r="M225" s="285"/>
      <c r="N225" s="285"/>
      <c r="O225" s="285"/>
      <c r="P225" s="285"/>
      <c r="Q225" s="285"/>
      <c r="R225" s="285"/>
      <c r="S225" s="286"/>
    </row>
    <row r="226" spans="1:19" ht="16.5" customHeight="1">
      <c r="A226" s="534"/>
      <c r="B226" s="288" t="s">
        <v>157</v>
      </c>
      <c r="C226" s="285"/>
      <c r="D226" s="285"/>
      <c r="E226" s="285"/>
      <c r="F226" s="285"/>
      <c r="G226" s="285"/>
      <c r="H226" s="285"/>
      <c r="I226" s="18"/>
      <c r="J226" s="18"/>
      <c r="K226" s="331" t="s">
        <v>158</v>
      </c>
      <c r="L226" s="301"/>
      <c r="M226" s="285" t="s">
        <v>159</v>
      </c>
      <c r="N226" s="285"/>
      <c r="O226" s="18"/>
      <c r="P226" s="331" t="s">
        <v>160</v>
      </c>
      <c r="Q226" s="301"/>
      <c r="R226" s="285" t="s">
        <v>159</v>
      </c>
      <c r="S226" s="227"/>
    </row>
    <row r="227" spans="1:19" ht="16.5" customHeight="1">
      <c r="A227" s="534"/>
      <c r="B227" s="285"/>
      <c r="C227" s="285"/>
      <c r="D227" s="285"/>
      <c r="E227" s="18"/>
      <c r="F227" s="18"/>
      <c r="G227" s="18"/>
      <c r="H227" s="18"/>
      <c r="I227" s="18"/>
      <c r="J227" s="18"/>
      <c r="K227" s="331" t="s">
        <v>161</v>
      </c>
      <c r="L227" s="301"/>
      <c r="M227" s="285" t="s">
        <v>159</v>
      </c>
      <c r="N227" s="285"/>
      <c r="O227" s="18"/>
      <c r="P227" s="331" t="s">
        <v>162</v>
      </c>
      <c r="Q227" s="301"/>
      <c r="R227" s="285" t="s">
        <v>159</v>
      </c>
      <c r="S227" s="227"/>
    </row>
    <row r="228" spans="1:19" ht="16.5" customHeight="1">
      <c r="A228" s="534"/>
      <c r="B228" s="285"/>
      <c r="C228" s="285"/>
      <c r="D228" s="285"/>
      <c r="E228" s="285"/>
      <c r="F228" s="285"/>
      <c r="G228" s="285"/>
      <c r="H228" s="285"/>
      <c r="I228" s="331"/>
      <c r="J228" s="285"/>
      <c r="K228" s="331" t="s">
        <v>163</v>
      </c>
      <c r="L228" s="301"/>
      <c r="M228" s="285" t="s">
        <v>159</v>
      </c>
      <c r="N228" s="285"/>
      <c r="O228" s="18"/>
      <c r="P228" s="331" t="s">
        <v>164</v>
      </c>
      <c r="Q228" s="301"/>
      <c r="R228" s="285" t="s">
        <v>159</v>
      </c>
      <c r="S228" s="286"/>
    </row>
    <row r="229" spans="1:19" ht="16.5" customHeight="1">
      <c r="A229" s="534"/>
      <c r="B229" s="291" t="s">
        <v>165</v>
      </c>
      <c r="C229" s="285"/>
      <c r="D229" s="285"/>
      <c r="E229" s="301"/>
      <c r="F229" s="285" t="s">
        <v>166</v>
      </c>
      <c r="I229" s="18"/>
      <c r="J229" s="285"/>
      <c r="K229" s="285"/>
      <c r="L229" s="285"/>
      <c r="M229" s="285"/>
      <c r="N229" s="285"/>
      <c r="O229" s="285"/>
      <c r="P229" s="285"/>
      <c r="Q229" s="285"/>
      <c r="R229" s="285"/>
      <c r="S229" s="286"/>
    </row>
    <row r="230" spans="1:19" ht="16.5" customHeight="1">
      <c r="A230" s="534"/>
      <c r="B230" s="291" t="s">
        <v>167</v>
      </c>
      <c r="C230" s="285"/>
      <c r="D230" s="285"/>
      <c r="E230" s="285"/>
      <c r="F230" s="330" t="s">
        <v>168</v>
      </c>
      <c r="G230" s="285"/>
      <c r="H230" s="285"/>
      <c r="I230" s="285"/>
      <c r="J230" s="285"/>
      <c r="K230" s="285"/>
      <c r="L230" s="285"/>
      <c r="M230" s="285"/>
      <c r="N230" s="285"/>
      <c r="O230" s="285"/>
      <c r="P230" s="285"/>
      <c r="Q230" s="285"/>
      <c r="R230" s="285"/>
      <c r="S230" s="286"/>
    </row>
    <row r="231" spans="1:19" ht="16.5" customHeight="1">
      <c r="A231" s="534"/>
      <c r="B231" s="288"/>
      <c r="C231" s="285"/>
      <c r="D231" s="285"/>
      <c r="E231" s="285"/>
      <c r="F231" s="291" t="s">
        <v>169</v>
      </c>
      <c r="G231" s="285"/>
      <c r="H231" s="285"/>
      <c r="I231" s="285"/>
      <c r="J231" s="285"/>
      <c r="K231" s="285"/>
      <c r="L231" s="285"/>
      <c r="M231" s="285"/>
      <c r="N231" s="285"/>
      <c r="O231" s="285"/>
      <c r="P231" s="285"/>
      <c r="Q231" s="285"/>
      <c r="R231" s="285"/>
      <c r="S231" s="286"/>
    </row>
    <row r="232" spans="1:19" ht="16.5" customHeight="1">
      <c r="A232" s="534"/>
      <c r="B232" s="285" t="s">
        <v>170</v>
      </c>
      <c r="C232" s="285"/>
      <c r="D232" s="285"/>
      <c r="E232" s="285"/>
      <c r="F232" s="285"/>
      <c r="G232" s="18"/>
      <c r="H232" s="301"/>
      <c r="I232" s="285" t="s">
        <v>171</v>
      </c>
      <c r="J232" s="285"/>
      <c r="K232" s="285"/>
      <c r="L232" s="285"/>
      <c r="M232" s="285"/>
      <c r="N232" s="285"/>
      <c r="O232" s="285"/>
      <c r="P232" s="285"/>
      <c r="Q232" s="285"/>
      <c r="R232" s="285"/>
      <c r="S232" s="286"/>
    </row>
    <row r="233" spans="1:19" ht="4.5" customHeight="1">
      <c r="A233" s="315"/>
      <c r="B233" s="298"/>
      <c r="C233" s="298"/>
      <c r="D233" s="298"/>
      <c r="E233" s="298"/>
      <c r="F233" s="298"/>
      <c r="G233" s="298"/>
      <c r="H233" s="298"/>
      <c r="I233" s="298"/>
      <c r="J233" s="298"/>
      <c r="K233" s="298"/>
      <c r="L233" s="298"/>
      <c r="M233" s="298"/>
      <c r="N233" s="298"/>
      <c r="O233" s="298"/>
      <c r="P233" s="298"/>
      <c r="Q233" s="298"/>
      <c r="R233" s="298"/>
      <c r="S233" s="299"/>
    </row>
    <row r="234" spans="1:19" ht="16.5" customHeight="1">
      <c r="A234" s="535" t="s">
        <v>172</v>
      </c>
      <c r="B234" s="291" t="s">
        <v>173</v>
      </c>
      <c r="C234" s="285"/>
      <c r="D234" s="285"/>
      <c r="E234" s="285"/>
      <c r="F234" s="285"/>
      <c r="G234" s="285"/>
      <c r="H234" s="285"/>
      <c r="I234" s="285"/>
      <c r="J234" s="285"/>
      <c r="K234" s="285"/>
      <c r="L234" s="285"/>
      <c r="M234" s="285"/>
      <c r="N234" s="285"/>
      <c r="O234" s="285"/>
      <c r="P234" s="285"/>
      <c r="Q234" s="285"/>
      <c r="R234" s="285"/>
      <c r="S234" s="286"/>
    </row>
    <row r="235" spans="1:19" ht="16.5" customHeight="1">
      <c r="A235" s="535"/>
      <c r="B235" s="291" t="s">
        <v>174</v>
      </c>
      <c r="C235" s="285"/>
      <c r="D235" s="285"/>
      <c r="E235" s="285"/>
      <c r="F235" s="285"/>
      <c r="G235" s="285"/>
      <c r="H235" s="285"/>
      <c r="I235" s="285"/>
      <c r="J235" s="285"/>
      <c r="K235" s="285"/>
      <c r="L235" s="285"/>
      <c r="M235" s="285"/>
      <c r="N235" s="285"/>
      <c r="O235" s="285"/>
      <c r="P235" s="285"/>
      <c r="Q235" s="285"/>
      <c r="R235" s="285"/>
      <c r="S235" s="286"/>
    </row>
    <row r="236" spans="1:19" ht="16.5" customHeight="1">
      <c r="A236" s="535"/>
      <c r="B236" s="291" t="s">
        <v>175</v>
      </c>
      <c r="C236" s="285"/>
      <c r="D236" s="285"/>
      <c r="E236" s="285"/>
      <c r="F236" s="285"/>
      <c r="G236" s="285"/>
      <c r="H236" s="18"/>
      <c r="I236" s="291" t="s">
        <v>176</v>
      </c>
      <c r="J236" s="285"/>
      <c r="K236" s="18"/>
      <c r="L236" s="288"/>
      <c r="M236" s="285" t="s">
        <v>177</v>
      </c>
      <c r="N236" s="18"/>
      <c r="O236" s="331" t="s">
        <v>178</v>
      </c>
      <c r="P236" s="301"/>
      <c r="Q236" s="18"/>
      <c r="R236" s="18"/>
      <c r="S236" s="286"/>
    </row>
    <row r="237" spans="1:19" ht="16.5" customHeight="1">
      <c r="A237" s="535"/>
      <c r="B237" s="288"/>
      <c r="C237" s="285"/>
      <c r="D237" s="285"/>
      <c r="E237" s="285"/>
      <c r="F237" s="285"/>
      <c r="G237" s="285"/>
      <c r="H237" s="18"/>
      <c r="I237" s="288"/>
      <c r="J237" s="285"/>
      <c r="K237" s="18"/>
      <c r="L237" s="288"/>
      <c r="M237" s="285" t="s">
        <v>179</v>
      </c>
      <c r="N237" s="18"/>
      <c r="O237" s="331" t="s">
        <v>178</v>
      </c>
      <c r="P237" s="301"/>
      <c r="Q237" s="18"/>
      <c r="R237" s="18"/>
      <c r="S237" s="286"/>
    </row>
    <row r="238" spans="1:19" ht="16.5" customHeight="1">
      <c r="A238" s="535"/>
      <c r="B238" s="288"/>
      <c r="C238" s="285"/>
      <c r="D238" s="285"/>
      <c r="E238" s="285"/>
      <c r="F238" s="285"/>
      <c r="G238" s="285"/>
      <c r="H238" s="288"/>
      <c r="I238" s="291" t="s">
        <v>180</v>
      </c>
      <c r="J238" s="285"/>
      <c r="K238" s="288"/>
      <c r="L238" s="288"/>
      <c r="M238" s="285"/>
      <c r="N238" s="288"/>
      <c r="O238" s="288"/>
      <c r="P238" s="288"/>
      <c r="Q238" s="285"/>
      <c r="R238" s="288"/>
      <c r="S238" s="286"/>
    </row>
    <row r="239" spans="1:19" ht="16.5" customHeight="1">
      <c r="A239" s="535"/>
      <c r="B239" s="288"/>
      <c r="C239" s="285"/>
      <c r="D239" s="285"/>
      <c r="E239" s="285"/>
      <c r="F239" s="285"/>
      <c r="G239" s="285"/>
      <c r="H239" s="288"/>
      <c r="I239" s="291" t="s">
        <v>181</v>
      </c>
      <c r="J239" s="285"/>
      <c r="K239" s="288" t="s">
        <v>182</v>
      </c>
      <c r="L239" s="18"/>
      <c r="M239" s="18"/>
      <c r="N239" s="331" t="s">
        <v>178</v>
      </c>
      <c r="O239" s="301"/>
      <c r="P239" s="288"/>
      <c r="Q239" s="288"/>
      <c r="R239" s="288"/>
      <c r="S239" s="227"/>
    </row>
    <row r="240" spans="1:19" ht="16.5" customHeight="1">
      <c r="A240" s="535"/>
      <c r="B240" s="288"/>
      <c r="C240" s="285"/>
      <c r="D240" s="285"/>
      <c r="E240" s="285"/>
      <c r="F240" s="285"/>
      <c r="G240" s="285"/>
      <c r="H240" s="288"/>
      <c r="I240" s="288"/>
      <c r="J240" s="285"/>
      <c r="K240" s="288" t="s">
        <v>183</v>
      </c>
      <c r="L240" s="18"/>
      <c r="M240" s="18"/>
      <c r="N240" s="331" t="s">
        <v>178</v>
      </c>
      <c r="O240" s="301"/>
      <c r="P240" s="288"/>
      <c r="Q240" s="288"/>
      <c r="R240" s="288"/>
      <c r="S240" s="227"/>
    </row>
    <row r="241" spans="1:19" ht="16.5" customHeight="1">
      <c r="A241" s="535"/>
      <c r="B241" s="288"/>
      <c r="C241" s="285"/>
      <c r="D241" s="285"/>
      <c r="E241" s="285"/>
      <c r="F241" s="285"/>
      <c r="G241" s="285"/>
      <c r="H241" s="288"/>
      <c r="I241" s="288"/>
      <c r="J241" s="285"/>
      <c r="K241" s="288" t="s">
        <v>184</v>
      </c>
      <c r="L241" s="18"/>
      <c r="M241" s="18"/>
      <c r="N241" s="331" t="s">
        <v>178</v>
      </c>
      <c r="O241" s="301"/>
      <c r="P241" s="288"/>
      <c r="Q241" s="288"/>
      <c r="R241" s="288"/>
      <c r="S241" s="227"/>
    </row>
    <row r="242" spans="1:19" ht="16.5" customHeight="1">
      <c r="A242" s="535"/>
      <c r="B242" s="288"/>
      <c r="C242" s="285"/>
      <c r="D242" s="285"/>
      <c r="E242" s="285"/>
      <c r="F242" s="285"/>
      <c r="G242" s="285"/>
      <c r="H242" s="288"/>
      <c r="I242" s="291" t="s">
        <v>185</v>
      </c>
      <c r="J242" s="285"/>
      <c r="K242" s="288"/>
      <c r="L242" s="18"/>
      <c r="M242" s="18"/>
      <c r="N242" s="331"/>
      <c r="O242" s="285"/>
      <c r="P242" s="288"/>
      <c r="Q242" s="288"/>
      <c r="R242" s="288"/>
      <c r="S242" s="227"/>
    </row>
    <row r="243" spans="1:19" ht="16.5" customHeight="1">
      <c r="A243" s="535"/>
      <c r="B243" s="288"/>
      <c r="C243" s="285"/>
      <c r="D243" s="285"/>
      <c r="E243" s="285"/>
      <c r="F243" s="285"/>
      <c r="G243" s="285"/>
      <c r="H243" s="288"/>
      <c r="I243" s="291" t="s">
        <v>186</v>
      </c>
      <c r="J243" s="285"/>
      <c r="K243" s="288"/>
      <c r="L243" s="18"/>
      <c r="M243" s="18"/>
      <c r="N243" s="331"/>
      <c r="O243" s="285"/>
      <c r="P243" s="288"/>
      <c r="Q243" s="288"/>
      <c r="R243" s="288"/>
      <c r="S243" s="227"/>
    </row>
    <row r="244" spans="1:19" ht="16.5" customHeight="1">
      <c r="A244" s="535"/>
      <c r="B244" s="288"/>
      <c r="C244" s="285" t="s">
        <v>187</v>
      </c>
      <c r="D244" s="285"/>
      <c r="E244" s="285"/>
      <c r="F244" s="285"/>
      <c r="G244" s="287"/>
      <c r="H244" s="375"/>
      <c r="I244" s="287"/>
      <c r="J244" s="287"/>
      <c r="K244" s="375"/>
      <c r="L244" s="375"/>
      <c r="M244" s="287"/>
      <c r="N244" s="375"/>
      <c r="O244" s="375"/>
      <c r="P244" s="287"/>
      <c r="Q244" s="287"/>
      <c r="R244" s="287"/>
      <c r="S244" s="297"/>
    </row>
    <row r="245" spans="1:19" ht="16.5" customHeight="1">
      <c r="A245" s="535"/>
      <c r="B245" s="288"/>
      <c r="C245" s="285"/>
      <c r="D245" s="285"/>
      <c r="E245" s="285"/>
      <c r="F245" s="285"/>
      <c r="G245" s="308"/>
      <c r="H245" s="376"/>
      <c r="I245" s="308"/>
      <c r="J245" s="308"/>
      <c r="K245" s="376"/>
      <c r="L245" s="376"/>
      <c r="M245" s="308"/>
      <c r="N245" s="376"/>
      <c r="O245" s="376"/>
      <c r="P245" s="308"/>
      <c r="Q245" s="308"/>
      <c r="R245" s="308"/>
      <c r="S245" s="309"/>
    </row>
    <row r="246" spans="1:19" ht="16.5" customHeight="1">
      <c r="A246" s="535"/>
      <c r="B246" s="288"/>
      <c r="C246" s="285"/>
      <c r="D246" s="285"/>
      <c r="E246" s="285"/>
      <c r="F246" s="285"/>
      <c r="G246" s="308"/>
      <c r="H246" s="376"/>
      <c r="I246" s="308"/>
      <c r="J246" s="308"/>
      <c r="K246" s="376"/>
      <c r="L246" s="376"/>
      <c r="M246" s="308"/>
      <c r="N246" s="376"/>
      <c r="O246" s="376"/>
      <c r="P246" s="308"/>
      <c r="Q246" s="308"/>
      <c r="R246" s="308"/>
      <c r="S246" s="309"/>
    </row>
    <row r="247" spans="1:19" ht="4.5" customHeight="1">
      <c r="A247" s="535"/>
      <c r="B247" s="288"/>
      <c r="C247" s="285"/>
      <c r="D247" s="285"/>
      <c r="E247" s="285"/>
      <c r="F247" s="285"/>
      <c r="G247" s="285"/>
      <c r="H247" s="288"/>
      <c r="I247" s="285"/>
      <c r="J247" s="285"/>
      <c r="K247" s="288"/>
      <c r="L247" s="288"/>
      <c r="M247" s="285"/>
      <c r="N247" s="288"/>
      <c r="O247" s="288"/>
      <c r="P247" s="285"/>
      <c r="Q247" s="285"/>
      <c r="R247" s="285"/>
      <c r="S247" s="286"/>
    </row>
    <row r="248" spans="1:19" ht="16.5" customHeight="1">
      <c r="A248" s="535"/>
      <c r="B248" s="291" t="s">
        <v>188</v>
      </c>
      <c r="C248" s="285"/>
      <c r="D248" s="285"/>
      <c r="E248" s="285"/>
      <c r="F248" s="285"/>
      <c r="G248" s="285"/>
      <c r="H248" s="288"/>
      <c r="I248" s="285"/>
      <c r="J248" s="285"/>
      <c r="K248" s="288"/>
      <c r="L248" s="288"/>
      <c r="M248" s="285"/>
      <c r="N248" s="288"/>
      <c r="O248" s="288"/>
      <c r="P248" s="285"/>
      <c r="Q248" s="285"/>
      <c r="R248" s="285"/>
      <c r="S248" s="286"/>
    </row>
    <row r="249" spans="1:19" ht="16.5" customHeight="1">
      <c r="A249" s="535"/>
      <c r="B249" s="377" t="s">
        <v>189</v>
      </c>
      <c r="C249" s="285"/>
      <c r="D249" s="285"/>
      <c r="E249" s="285"/>
      <c r="F249" s="287"/>
      <c r="G249" s="287"/>
      <c r="H249" s="375"/>
      <c r="I249" s="287"/>
      <c r="J249" s="287"/>
      <c r="K249" s="375"/>
      <c r="L249" s="375"/>
      <c r="M249" s="287"/>
      <c r="N249" s="375"/>
      <c r="O249" s="375"/>
      <c r="P249" s="287"/>
      <c r="Q249" s="287"/>
      <c r="R249" s="287"/>
      <c r="S249" s="297"/>
    </row>
    <row r="250" spans="1:19" ht="16.5" customHeight="1">
      <c r="A250" s="535"/>
      <c r="B250" s="377"/>
      <c r="C250" s="285"/>
      <c r="D250" s="285"/>
      <c r="E250" s="285"/>
      <c r="F250" s="308"/>
      <c r="G250" s="308"/>
      <c r="H250" s="376"/>
      <c r="I250" s="308"/>
      <c r="J250" s="308"/>
      <c r="K250" s="376"/>
      <c r="L250" s="376"/>
      <c r="M250" s="308"/>
      <c r="N250" s="376"/>
      <c r="O250" s="376"/>
      <c r="P250" s="308"/>
      <c r="Q250" s="308"/>
      <c r="R250" s="308"/>
      <c r="S250" s="309"/>
    </row>
    <row r="251" spans="1:19" ht="16.5" customHeight="1">
      <c r="A251" s="535"/>
      <c r="B251" s="28"/>
      <c r="C251" s="298"/>
      <c r="D251" s="298"/>
      <c r="E251" s="298"/>
      <c r="F251" s="298"/>
      <c r="G251" s="378"/>
      <c r="H251" s="298"/>
      <c r="I251" s="298"/>
      <c r="J251" s="378"/>
      <c r="K251" s="298"/>
      <c r="L251" s="298"/>
      <c r="M251" s="298"/>
      <c r="N251" s="298"/>
      <c r="O251" s="298"/>
      <c r="P251" s="298"/>
      <c r="Q251" s="298"/>
      <c r="R251" s="298"/>
      <c r="S251" s="299"/>
    </row>
    <row r="252" spans="1:19" ht="4.5" customHeight="1">
      <c r="A252" s="379"/>
      <c r="B252" s="288"/>
      <c r="C252" s="285"/>
      <c r="D252" s="285"/>
      <c r="E252" s="285"/>
      <c r="F252" s="285"/>
      <c r="G252" s="288"/>
      <c r="H252" s="285"/>
      <c r="I252" s="285"/>
      <c r="J252" s="288"/>
      <c r="K252" s="285"/>
      <c r="L252" s="285"/>
      <c r="M252" s="285"/>
      <c r="N252" s="285"/>
      <c r="O252" s="285"/>
      <c r="P252" s="285"/>
      <c r="Q252" s="285"/>
      <c r="R252" s="285"/>
      <c r="S252" s="286"/>
    </row>
    <row r="253" spans="1:19" ht="16.5" customHeight="1">
      <c r="A253" s="25"/>
      <c r="B253" s="380" t="s">
        <v>50</v>
      </c>
      <c r="C253" s="285"/>
      <c r="D253" s="285"/>
      <c r="E253" s="285"/>
      <c r="F253" s="285"/>
      <c r="G253" s="285"/>
      <c r="H253" s="285"/>
      <c r="I253" s="285"/>
      <c r="J253" s="285"/>
      <c r="K253" s="285"/>
      <c r="L253" s="285"/>
      <c r="M253" s="285"/>
      <c r="N253" s="285"/>
      <c r="O253" s="285"/>
      <c r="P253" s="285"/>
      <c r="Q253" s="285"/>
      <c r="R253" s="285"/>
      <c r="S253" s="286"/>
    </row>
    <row r="254" spans="1:19" ht="16.5" customHeight="1">
      <c r="A254" s="25"/>
      <c r="B254" s="291" t="s">
        <v>51</v>
      </c>
      <c r="C254" s="285"/>
      <c r="D254" s="285"/>
      <c r="E254" s="285"/>
      <c r="F254" s="285"/>
      <c r="G254" s="285"/>
      <c r="H254" s="285"/>
      <c r="I254" s="285"/>
      <c r="J254" s="285"/>
      <c r="K254" s="285"/>
      <c r="L254" s="285"/>
      <c r="M254" s="285"/>
      <c r="N254" s="285"/>
      <c r="O254" s="285"/>
      <c r="P254" s="381"/>
      <c r="Q254" s="291"/>
      <c r="R254" s="288"/>
      <c r="S254" s="286"/>
    </row>
    <row r="255" spans="1:19" ht="16.5" customHeight="1">
      <c r="A255" s="25"/>
      <c r="B255" s="291" t="s">
        <v>52</v>
      </c>
      <c r="C255" s="285"/>
      <c r="D255" s="285"/>
      <c r="E255" s="285"/>
      <c r="F255" s="285"/>
      <c r="G255" s="285"/>
      <c r="H255" s="285"/>
      <c r="I255" s="285"/>
      <c r="J255" s="285"/>
      <c r="K255" s="285"/>
      <c r="L255" s="285"/>
      <c r="M255" s="285"/>
      <c r="N255" s="285"/>
      <c r="O255" s="285"/>
      <c r="P255" s="288"/>
      <c r="Q255" s="288"/>
      <c r="R255" s="288"/>
      <c r="S255" s="286"/>
    </row>
    <row r="256" spans="1:19" ht="16.5" customHeight="1">
      <c r="A256" s="25"/>
      <c r="B256" s="291" t="s">
        <v>53</v>
      </c>
      <c r="C256" s="285"/>
      <c r="D256" s="285"/>
      <c r="E256" s="285"/>
      <c r="F256" s="285"/>
      <c r="G256" s="285"/>
      <c r="H256" s="285"/>
      <c r="I256" s="285"/>
      <c r="J256" s="285"/>
      <c r="K256" s="285"/>
      <c r="L256" s="285"/>
      <c r="M256" s="285"/>
      <c r="N256" s="285"/>
      <c r="O256" s="285"/>
      <c r="P256" s="288"/>
      <c r="Q256" s="288"/>
      <c r="R256" s="288"/>
      <c r="S256" s="286"/>
    </row>
    <row r="257" spans="1:19" ht="4.5" customHeight="1">
      <c r="A257" s="333"/>
      <c r="B257" s="382"/>
      <c r="C257" s="298"/>
      <c r="D257" s="298"/>
      <c r="E257" s="298"/>
      <c r="F257" s="298"/>
      <c r="G257" s="298"/>
      <c r="H257" s="298"/>
      <c r="I257" s="298"/>
      <c r="J257" s="298"/>
      <c r="K257" s="298"/>
      <c r="L257" s="298"/>
      <c r="M257" s="298"/>
      <c r="N257" s="298"/>
      <c r="O257" s="298"/>
      <c r="P257" s="378"/>
      <c r="Q257" s="378"/>
      <c r="R257" s="378"/>
      <c r="S257" s="299"/>
    </row>
    <row r="258" spans="1:19" ht="4.5" customHeight="1">
      <c r="A258" s="327"/>
      <c r="B258" s="383"/>
      <c r="C258" s="283"/>
      <c r="D258" s="283"/>
      <c r="E258" s="283"/>
      <c r="F258" s="283"/>
      <c r="G258" s="283"/>
      <c r="H258" s="283"/>
      <c r="I258" s="283"/>
      <c r="J258" s="283"/>
      <c r="K258" s="283"/>
      <c r="L258" s="283"/>
      <c r="M258" s="283"/>
      <c r="N258" s="283"/>
      <c r="O258" s="283"/>
      <c r="P258" s="295"/>
      <c r="Q258" s="295"/>
      <c r="R258" s="295"/>
      <c r="S258" s="284"/>
    </row>
    <row r="259" spans="1:19" ht="16.5" customHeight="1">
      <c r="A259" s="293" t="s">
        <v>54</v>
      </c>
      <c r="B259" s="285"/>
      <c r="C259" s="285"/>
      <c r="D259" s="285"/>
      <c r="E259" s="287"/>
      <c r="F259" s="287"/>
      <c r="G259" s="287"/>
      <c r="H259" s="287"/>
      <c r="I259" s="287"/>
      <c r="J259" s="287"/>
      <c r="K259" s="287"/>
      <c r="L259" s="287"/>
      <c r="M259" s="287"/>
      <c r="N259" s="287"/>
      <c r="O259" s="287"/>
      <c r="P259" s="287"/>
      <c r="Q259" s="287"/>
      <c r="R259" s="287"/>
      <c r="S259" s="297"/>
    </row>
    <row r="260" spans="1:19" ht="16.5" customHeight="1">
      <c r="A260" s="293"/>
      <c r="B260" s="285"/>
      <c r="C260" s="285"/>
      <c r="D260" s="285"/>
      <c r="E260" s="308"/>
      <c r="F260" s="308"/>
      <c r="G260" s="308"/>
      <c r="H260" s="308"/>
      <c r="I260" s="308"/>
      <c r="J260" s="308"/>
      <c r="K260" s="308"/>
      <c r="L260" s="308"/>
      <c r="M260" s="308"/>
      <c r="N260" s="308"/>
      <c r="O260" s="308"/>
      <c r="P260" s="308"/>
      <c r="Q260" s="308"/>
      <c r="R260" s="308"/>
      <c r="S260" s="309"/>
    </row>
    <row r="261" spans="1:19" ht="16.5" customHeight="1">
      <c r="A261" s="293"/>
      <c r="B261" s="285"/>
      <c r="C261" s="285"/>
      <c r="D261" s="285"/>
      <c r="E261" s="308"/>
      <c r="F261" s="308"/>
      <c r="G261" s="308"/>
      <c r="H261" s="308"/>
      <c r="I261" s="308"/>
      <c r="J261" s="308"/>
      <c r="K261" s="308"/>
      <c r="L261" s="308"/>
      <c r="M261" s="308"/>
      <c r="N261" s="308"/>
      <c r="O261" s="308"/>
      <c r="P261" s="308"/>
      <c r="Q261" s="308"/>
      <c r="R261" s="308"/>
      <c r="S261" s="309"/>
    </row>
    <row r="262" spans="1:19" ht="16.5" customHeight="1">
      <c r="A262" s="333"/>
      <c r="B262" s="298"/>
      <c r="C262" s="298"/>
      <c r="D262" s="298"/>
      <c r="E262" s="384"/>
      <c r="F262" s="384"/>
      <c r="G262" s="384"/>
      <c r="H262" s="384"/>
      <c r="I262" s="384"/>
      <c r="J262" s="384"/>
      <c r="K262" s="384"/>
      <c r="L262" s="384"/>
      <c r="M262" s="384"/>
      <c r="N262" s="384"/>
      <c r="O262" s="384"/>
      <c r="P262" s="384"/>
      <c r="Q262" s="384"/>
      <c r="R262" s="384"/>
      <c r="S262" s="385"/>
    </row>
  </sheetData>
  <sheetProtection selectLockedCells="1" selectUnlockedCells="1"/>
  <mergeCells count="23">
    <mergeCell ref="A234:A251"/>
    <mergeCell ref="A169:A185"/>
    <mergeCell ref="A187:A200"/>
    <mergeCell ref="A204:A216"/>
    <mergeCell ref="A219:A232"/>
    <mergeCell ref="F139:G139"/>
    <mergeCell ref="F141:G141"/>
    <mergeCell ref="F142:G142"/>
    <mergeCell ref="A145:A165"/>
    <mergeCell ref="A103:A111"/>
    <mergeCell ref="A113:A119"/>
    <mergeCell ref="A121:A135"/>
    <mergeCell ref="A138:A143"/>
    <mergeCell ref="A50:A60"/>
    <mergeCell ref="A62:A67"/>
    <mergeCell ref="A70:A102"/>
    <mergeCell ref="B71:B83"/>
    <mergeCell ref="B86:B92"/>
    <mergeCell ref="B95:B101"/>
    <mergeCell ref="A1:A7"/>
    <mergeCell ref="A10:A16"/>
    <mergeCell ref="A18:A27"/>
    <mergeCell ref="A30:A46"/>
  </mergeCells>
  <printOptions/>
  <pageMargins left="0.4722222222222222" right="0.3541666666666667" top="0.44652777777777775" bottom="0.19652777777777777" header="0.15763888888888888" footer="0.5118055555555555"/>
  <pageSetup horizontalDpi="300" verticalDpi="300" orientation="portrait" paperSize="9" scale="84"/>
  <headerFooter alignWithMargins="0">
    <oddHeader>&amp;C&amp;"-,Gras"&amp;14FICHE D'AIDE AU DIAGNOSTIC ENERGIE ET EAU - &amp;12&amp;P/4</oddHeader>
  </headerFooter>
  <rowBreaks count="3" manualBreakCount="3">
    <brk id="68" max="255" man="1"/>
    <brk id="136" max="255" man="1"/>
    <brk id="201" max="255" man="1"/>
  </rowBreaks>
  <drawing r:id="rId1"/>
</worksheet>
</file>

<file path=xl/worksheets/sheet7.xml><?xml version="1.0" encoding="utf-8"?>
<worksheet xmlns="http://schemas.openxmlformats.org/spreadsheetml/2006/main" xmlns:r="http://schemas.openxmlformats.org/officeDocument/2006/relationships">
  <sheetPr codeName="Feuil8"/>
  <dimension ref="A1:W118"/>
  <sheetViews>
    <sheetView showGridLines="0" zoomScale="70" zoomScaleNormal="70" workbookViewId="0" topLeftCell="A1">
      <selection activeCell="A1" sqref="A1"/>
    </sheetView>
  </sheetViews>
  <sheetFormatPr defaultColWidth="11.421875" defaultRowHeight="15"/>
  <cols>
    <col min="2" max="2" width="30.140625" style="0" customWidth="1"/>
    <col min="3" max="3" width="23.421875" style="0" customWidth="1"/>
    <col min="4" max="4" width="8.8515625" style="0" customWidth="1"/>
  </cols>
  <sheetData>
    <row r="1" spans="2:4" ht="15">
      <c r="B1" s="538" t="s">
        <v>681</v>
      </c>
      <c r="C1" s="538"/>
      <c r="D1" s="386">
        <f>'Consommation appareils'!H5</f>
        <v>2</v>
      </c>
    </row>
    <row r="2" spans="2:4" ht="15">
      <c r="B2" s="539" t="s">
        <v>683</v>
      </c>
      <c r="C2" s="539"/>
      <c r="D2" s="387">
        <f>'Consommation appareils'!H7</f>
        <v>2</v>
      </c>
    </row>
    <row r="3" spans="2:4" ht="15">
      <c r="B3" s="539" t="s">
        <v>685</v>
      </c>
      <c r="C3" s="539"/>
      <c r="D3" s="387">
        <f>'Consommation appareils'!H9</f>
        <v>0</v>
      </c>
    </row>
    <row r="4" spans="2:4" ht="15">
      <c r="B4" s="539" t="s">
        <v>687</v>
      </c>
      <c r="C4" s="539"/>
      <c r="D4" s="387">
        <f>'Consommation appareils'!H11</f>
        <v>0</v>
      </c>
    </row>
    <row r="5" spans="2:4" ht="15">
      <c r="B5" s="540" t="s">
        <v>688</v>
      </c>
      <c r="C5" s="540"/>
      <c r="D5" s="387">
        <f>'Consommation appareils'!D13</f>
        <v>3</v>
      </c>
    </row>
    <row r="6" spans="2:4" ht="15">
      <c r="B6" s="541" t="s">
        <v>689</v>
      </c>
      <c r="C6" s="541"/>
      <c r="D6" s="388">
        <f>'Consommation appareils'!D15</f>
        <v>0</v>
      </c>
    </row>
    <row r="7" spans="7:12" ht="14.25" customHeight="1">
      <c r="G7" s="492" t="s">
        <v>55</v>
      </c>
      <c r="H7" s="492"/>
      <c r="I7" s="492"/>
      <c r="J7" s="492"/>
      <c r="K7" s="492" t="s">
        <v>56</v>
      </c>
      <c r="L7" s="492"/>
    </row>
    <row r="8" spans="2:12" s="9" customFormat="1" ht="40.5" customHeight="1">
      <c r="B8" s="102" t="s">
        <v>720</v>
      </c>
      <c r="C8" s="102" t="s">
        <v>721</v>
      </c>
      <c r="D8" s="542" t="s">
        <v>722</v>
      </c>
      <c r="E8" s="542"/>
      <c r="F8" s="389" t="s">
        <v>731</v>
      </c>
      <c r="G8" s="390" t="s">
        <v>690</v>
      </c>
      <c r="H8" s="391" t="s">
        <v>726</v>
      </c>
      <c r="I8" s="392" t="s">
        <v>727</v>
      </c>
      <c r="J8" s="391" t="s">
        <v>728</v>
      </c>
      <c r="K8" s="393" t="s">
        <v>729</v>
      </c>
      <c r="L8" s="394" t="s">
        <v>730</v>
      </c>
    </row>
    <row r="9" spans="1:12" ht="27.75" customHeight="1">
      <c r="A9" s="508" t="s">
        <v>733</v>
      </c>
      <c r="B9" s="509" t="s">
        <v>734</v>
      </c>
      <c r="C9" s="395" t="s">
        <v>735</v>
      </c>
      <c r="D9" s="396">
        <f>'Consommation appareils'!F36</f>
        <v>4.64</v>
      </c>
      <c r="E9" s="396" t="str">
        <f>'Consommation appareils'!G36</f>
        <v>cycles/sem</v>
      </c>
      <c r="F9" s="397">
        <f>'Consommation appareils'!J36</f>
        <v>188.70879999999997</v>
      </c>
      <c r="G9" s="398">
        <f>'Consommation appareils'!K36</f>
        <v>22.286509279999997</v>
      </c>
      <c r="H9" s="398">
        <f>'Consommation appareils'!L36</f>
        <v>16.889437599999997</v>
      </c>
      <c r="I9" s="398">
        <f>'Consommation appareils'!M36</f>
        <v>24.75859456</v>
      </c>
      <c r="J9" s="398">
        <f>'Consommation appareils'!N36</f>
        <v>22.397847472</v>
      </c>
      <c r="K9" s="399">
        <f>'Consommation appareils'!O36</f>
        <v>18.1888</v>
      </c>
      <c r="L9" s="400">
        <f>'Consommation appareils'!P36</f>
        <v>59.674524403199996</v>
      </c>
    </row>
    <row r="10" spans="1:12" ht="27.75" customHeight="1">
      <c r="A10" s="508"/>
      <c r="B10" s="509"/>
      <c r="C10" s="401" t="s">
        <v>738</v>
      </c>
      <c r="D10" s="402">
        <f>'Consommation appareils'!F37</f>
        <v>4.64</v>
      </c>
      <c r="E10" s="402" t="str">
        <f>'Consommation appareils'!G37</f>
        <v>cycles/sem</v>
      </c>
      <c r="F10" s="403">
        <f>'Consommation appareils'!J37</f>
        <v>150.05759999999998</v>
      </c>
      <c r="G10" s="404">
        <f>'Consommation appareils'!K37</f>
        <v>17.721802559999997</v>
      </c>
      <c r="H10" s="404">
        <f>'Consommation appareils'!L37</f>
        <v>13.430155199999998</v>
      </c>
      <c r="I10" s="404">
        <f>'Consommation appareils'!M37</f>
        <v>19.687557119999997</v>
      </c>
      <c r="J10" s="404">
        <f>'Consommation appareils'!N37</f>
        <v>17.810336544</v>
      </c>
      <c r="K10" s="405">
        <f>'Consommation appareils'!O37</f>
        <v>14.7784</v>
      </c>
      <c r="L10" s="406">
        <f>'Consommation appareils'!P37</f>
        <v>48.48555107759999</v>
      </c>
    </row>
    <row r="11" spans="1:12" ht="27.75" customHeight="1">
      <c r="A11" s="508"/>
      <c r="B11" s="509"/>
      <c r="C11" s="395" t="s">
        <v>739</v>
      </c>
      <c r="D11" s="396">
        <f>'Consommation appareils'!F38</f>
        <v>4.64</v>
      </c>
      <c r="E11" s="396" t="str">
        <f>'Consommation appareils'!G38</f>
        <v>cycles/sem</v>
      </c>
      <c r="F11" s="397">
        <f>'Consommation appareils'!J38</f>
        <v>129.59519999999998</v>
      </c>
      <c r="G11" s="398">
        <f>'Consommation appareils'!K38</f>
        <v>15.305193119999997</v>
      </c>
      <c r="H11" s="398">
        <f>'Consommation appareils'!L38</f>
        <v>11.598770399999998</v>
      </c>
      <c r="I11" s="398">
        <f>'Consommation appareils'!M38</f>
        <v>17.00289024</v>
      </c>
      <c r="J11" s="398">
        <f>'Consommation appareils'!N38</f>
        <v>15.381654287999998</v>
      </c>
      <c r="K11" s="399">
        <f>'Consommation appareils'!O38</f>
        <v>10.91328</v>
      </c>
      <c r="L11" s="400">
        <f>'Consommation appareils'!P38</f>
        <v>35.80471464192</v>
      </c>
    </row>
    <row r="12" spans="1:12" ht="27.75" customHeight="1">
      <c r="A12" s="508"/>
      <c r="B12" s="510" t="s">
        <v>741</v>
      </c>
      <c r="C12" s="401" t="s">
        <v>735</v>
      </c>
      <c r="D12" s="402">
        <f>'Consommation appareils'!F39</f>
        <v>4.1</v>
      </c>
      <c r="E12" s="402" t="str">
        <f>'Consommation appareils'!G39</f>
        <v>cycles/sem</v>
      </c>
      <c r="F12" s="403">
        <f>'Consommation appareils'!J39</f>
        <v>341.53</v>
      </c>
      <c r="G12" s="404">
        <f>'Consommation appareils'!K39</f>
        <v>40.334692999999994</v>
      </c>
      <c r="H12" s="404">
        <f>'Consommation appareils'!L39</f>
        <v>30.566934999999997</v>
      </c>
      <c r="I12" s="404">
        <f>'Consommation appareils'!M39</f>
        <v>44.808736</v>
      </c>
      <c r="J12" s="404">
        <f>'Consommation appareils'!N39</f>
        <v>40.5361957</v>
      </c>
      <c r="K12" s="405">
        <f>'Consommation appareils'!O39</f>
        <v>6.026999999999999</v>
      </c>
      <c r="L12" s="406">
        <f>'Consommation appareils'!P39</f>
        <v>19.773616652999998</v>
      </c>
    </row>
    <row r="13" spans="1:12" ht="27.75" customHeight="1">
      <c r="A13" s="508"/>
      <c r="B13" s="510"/>
      <c r="C13" s="395" t="s">
        <v>738</v>
      </c>
      <c r="D13" s="396">
        <f>'Consommation appareils'!F40</f>
        <v>4.1</v>
      </c>
      <c r="E13" s="396" t="str">
        <f>'Consommation appareils'!G40</f>
        <v>cycles/sem</v>
      </c>
      <c r="F13" s="397">
        <f>'Consommation appareils'!J40</f>
        <v>251.125</v>
      </c>
      <c r="G13" s="398">
        <f>'Consommation appareils'!K40</f>
        <v>29.6578625</v>
      </c>
      <c r="H13" s="398">
        <f>'Consommation appareils'!L40</f>
        <v>22.4756875</v>
      </c>
      <c r="I13" s="398">
        <f>'Consommation appareils'!M40</f>
        <v>32.9476</v>
      </c>
      <c r="J13" s="398">
        <f>'Consommation appareils'!N40</f>
        <v>29.806026250000002</v>
      </c>
      <c r="K13" s="399">
        <f>'Consommation appareils'!O40</f>
        <v>4.018</v>
      </c>
      <c r="L13" s="400">
        <f>'Consommation appareils'!P40</f>
        <v>13.182411101999998</v>
      </c>
    </row>
    <row r="14" spans="1:12" ht="27.75" customHeight="1">
      <c r="A14" s="508"/>
      <c r="B14" s="510"/>
      <c r="C14" s="401" t="s">
        <v>739</v>
      </c>
      <c r="D14" s="402">
        <f>'Consommation appareils'!F41</f>
        <v>4.1</v>
      </c>
      <c r="E14" s="402" t="str">
        <f>'Consommation appareils'!G41</f>
        <v>cycles/sem</v>
      </c>
      <c r="F14" s="403">
        <f>'Consommation appareils'!J41</f>
        <v>170.765</v>
      </c>
      <c r="G14" s="404">
        <f>'Consommation appareils'!K41</f>
        <v>20.167346499999997</v>
      </c>
      <c r="H14" s="404">
        <f>'Consommation appareils'!L41</f>
        <v>15.283467499999999</v>
      </c>
      <c r="I14" s="404">
        <f>'Consommation appareils'!M41</f>
        <v>22.404368</v>
      </c>
      <c r="J14" s="404">
        <f>'Consommation appareils'!N41</f>
        <v>20.26809785</v>
      </c>
      <c r="K14" s="405">
        <f>'Consommation appareils'!O41</f>
        <v>2.009</v>
      </c>
      <c r="L14" s="406">
        <f>'Consommation appareils'!P41</f>
        <v>6.591205550999999</v>
      </c>
    </row>
    <row r="15" spans="1:12" ht="27.75" customHeight="1">
      <c r="A15" s="508"/>
      <c r="B15" s="510" t="s">
        <v>743</v>
      </c>
      <c r="C15" s="395" t="s">
        <v>744</v>
      </c>
      <c r="D15" s="396">
        <f>'Consommation appareils'!F42</f>
        <v>3.7</v>
      </c>
      <c r="E15" s="396" t="str">
        <f>'Consommation appareils'!G42</f>
        <v>cycles/sem</v>
      </c>
      <c r="F15" s="397">
        <f>'Consommation appareils'!J42</f>
        <v>725.2</v>
      </c>
      <c r="G15" s="398">
        <f>'Consommation appareils'!K42</f>
        <v>85.64612</v>
      </c>
      <c r="H15" s="398">
        <f>'Consommation appareils'!L42</f>
        <v>64.9054</v>
      </c>
      <c r="I15" s="398">
        <f>'Consommation appareils'!M42</f>
        <v>95.14624000000002</v>
      </c>
      <c r="J15" s="398">
        <f>'Consommation appareils'!N42</f>
        <v>86.07398800000001</v>
      </c>
      <c r="K15" s="400"/>
      <c r="L15" s="400"/>
    </row>
    <row r="16" spans="1:12" ht="27.75" customHeight="1">
      <c r="A16" s="508"/>
      <c r="B16" s="510"/>
      <c r="C16" s="401" t="s">
        <v>738</v>
      </c>
      <c r="D16" s="402">
        <f>'Consommation appareils'!F43</f>
        <v>3.7</v>
      </c>
      <c r="E16" s="402" t="str">
        <f>'Consommation appareils'!G43</f>
        <v>cycles/sem</v>
      </c>
      <c r="F16" s="403">
        <f>'Consommation appareils'!J43</f>
        <v>398.86</v>
      </c>
      <c r="G16" s="404">
        <f>'Consommation appareils'!K43</f>
        <v>47.105366000000004</v>
      </c>
      <c r="H16" s="404">
        <f>'Consommation appareils'!L43</f>
        <v>35.69797</v>
      </c>
      <c r="I16" s="404">
        <f>'Consommation appareils'!M43</f>
        <v>52.33043200000001</v>
      </c>
      <c r="J16" s="404">
        <f>'Consommation appareils'!N43</f>
        <v>47.3406934</v>
      </c>
      <c r="K16" s="406"/>
      <c r="L16" s="406"/>
    </row>
    <row r="17" spans="1:12" ht="27.75" customHeight="1">
      <c r="A17" s="508"/>
      <c r="B17" s="510"/>
      <c r="C17" s="395" t="s">
        <v>747</v>
      </c>
      <c r="D17" s="396">
        <f>'Consommation appareils'!F44</f>
        <v>3.7</v>
      </c>
      <c r="E17" s="396" t="str">
        <f>'Consommation appareils'!G44</f>
        <v>cycles/sem</v>
      </c>
      <c r="F17" s="397">
        <f>'Consommation appareils'!J44</f>
        <v>326.34000000000003</v>
      </c>
      <c r="G17" s="398">
        <f>'Consommation appareils'!K44</f>
        <v>38.540754</v>
      </c>
      <c r="H17" s="398">
        <f>'Consommation appareils'!L44</f>
        <v>29.207430000000002</v>
      </c>
      <c r="I17" s="398">
        <f>'Consommation appareils'!M44</f>
        <v>42.81580800000001</v>
      </c>
      <c r="J17" s="398">
        <f>'Consommation appareils'!N44</f>
        <v>38.73329460000001</v>
      </c>
      <c r="K17" s="400"/>
      <c r="L17" s="400"/>
    </row>
    <row r="18" spans="1:12" ht="27.75" customHeight="1">
      <c r="A18" s="511" t="s">
        <v>748</v>
      </c>
      <c r="B18" s="510" t="s">
        <v>749</v>
      </c>
      <c r="C18" s="401" t="s">
        <v>735</v>
      </c>
      <c r="D18" s="402"/>
      <c r="E18" s="407"/>
      <c r="F18" s="403">
        <f>'Consommation appareils'!J45</f>
        <v>270</v>
      </c>
      <c r="G18" s="404">
        <f>'Consommation appareils'!K45</f>
        <v>31.887</v>
      </c>
      <c r="H18" s="404" t="str">
        <f>'Consommation appareils'!L45</f>
        <v>-</v>
      </c>
      <c r="I18" s="404" t="str">
        <f>'Consommation appareils'!M45</f>
        <v>-</v>
      </c>
      <c r="J18" s="404">
        <f>'Consommation appareils'!N45</f>
        <v>32.0463</v>
      </c>
      <c r="K18" s="406"/>
      <c r="L18" s="406"/>
    </row>
    <row r="19" spans="1:12" ht="27.75" customHeight="1">
      <c r="A19" s="511"/>
      <c r="B19" s="510"/>
      <c r="C19" s="395" t="s">
        <v>738</v>
      </c>
      <c r="D19" s="396"/>
      <c r="E19" s="408"/>
      <c r="F19" s="397">
        <f>'Consommation appareils'!J46</f>
        <v>253</v>
      </c>
      <c r="G19" s="398">
        <f>'Consommation appareils'!K46</f>
        <v>29.8793</v>
      </c>
      <c r="H19" s="398" t="str">
        <f>'Consommation appareils'!L46</f>
        <v>-</v>
      </c>
      <c r="I19" s="398" t="str">
        <f>'Consommation appareils'!M46</f>
        <v>-</v>
      </c>
      <c r="J19" s="398">
        <f>'Consommation appareils'!N46</f>
        <v>30.028570000000002</v>
      </c>
      <c r="K19" s="400"/>
      <c r="L19" s="400"/>
    </row>
    <row r="20" spans="1:12" ht="27.75" customHeight="1">
      <c r="A20" s="511"/>
      <c r="B20" s="510"/>
      <c r="C20" s="401" t="s">
        <v>597</v>
      </c>
      <c r="D20" s="402"/>
      <c r="E20" s="407"/>
      <c r="F20" s="403">
        <f>'Consommation appareils'!J47</f>
        <v>160</v>
      </c>
      <c r="G20" s="404">
        <f>'Consommation appareils'!K47</f>
        <v>18.896</v>
      </c>
      <c r="H20" s="404" t="str">
        <f>'Consommation appareils'!L47</f>
        <v>-</v>
      </c>
      <c r="I20" s="404" t="str">
        <f>'Consommation appareils'!M47</f>
        <v>-</v>
      </c>
      <c r="J20" s="404">
        <f>'Consommation appareils'!N47</f>
        <v>18.9904</v>
      </c>
      <c r="K20" s="406"/>
      <c r="L20" s="406"/>
    </row>
    <row r="21" spans="1:12" ht="27.75" customHeight="1">
      <c r="A21" s="511"/>
      <c r="B21" s="512" t="s">
        <v>598</v>
      </c>
      <c r="C21" s="395" t="s">
        <v>735</v>
      </c>
      <c r="D21" s="396"/>
      <c r="E21" s="408"/>
      <c r="F21" s="397">
        <f>'Consommation appareils'!J48</f>
        <v>556</v>
      </c>
      <c r="G21" s="398">
        <f>'Consommation appareils'!K48</f>
        <v>65.6636</v>
      </c>
      <c r="H21" s="398" t="str">
        <f>'Consommation appareils'!L48</f>
        <v>-</v>
      </c>
      <c r="I21" s="398" t="str">
        <f>'Consommation appareils'!M48</f>
        <v>-</v>
      </c>
      <c r="J21" s="398">
        <f>'Consommation appareils'!N48</f>
        <v>65.99164</v>
      </c>
      <c r="K21" s="400"/>
      <c r="L21" s="400"/>
    </row>
    <row r="22" spans="1:12" ht="27.75" customHeight="1">
      <c r="A22" s="511"/>
      <c r="B22" s="512"/>
      <c r="C22" s="401" t="s">
        <v>738</v>
      </c>
      <c r="D22" s="402"/>
      <c r="E22" s="407"/>
      <c r="F22" s="403">
        <f>'Consommation appareils'!J49</f>
        <v>460</v>
      </c>
      <c r="G22" s="404">
        <f>'Consommation appareils'!K49</f>
        <v>54.326</v>
      </c>
      <c r="H22" s="404"/>
      <c r="I22" s="404"/>
      <c r="J22" s="404">
        <f>'Consommation appareils'!N49</f>
        <v>54.5974</v>
      </c>
      <c r="K22" s="406"/>
      <c r="L22" s="406"/>
    </row>
    <row r="23" spans="1:12" ht="27.75" customHeight="1">
      <c r="A23" s="511"/>
      <c r="B23" s="512"/>
      <c r="C23" s="395" t="s">
        <v>599</v>
      </c>
      <c r="D23" s="396"/>
      <c r="E23" s="408"/>
      <c r="F23" s="397">
        <f>'Consommation appareils'!J50</f>
        <v>210.24</v>
      </c>
      <c r="G23" s="398">
        <f>'Consommation appareils'!K50</f>
        <v>24.829344</v>
      </c>
      <c r="H23" s="398"/>
      <c r="I23" s="398"/>
      <c r="J23" s="398">
        <f>'Consommation appareils'!N50</f>
        <v>24.9533856</v>
      </c>
      <c r="K23" s="400"/>
      <c r="L23" s="400"/>
    </row>
    <row r="24" spans="1:12" ht="27.75" customHeight="1">
      <c r="A24" s="511"/>
      <c r="B24" s="513" t="s">
        <v>600</v>
      </c>
      <c r="C24" s="401" t="s">
        <v>735</v>
      </c>
      <c r="D24" s="402"/>
      <c r="E24" s="407"/>
      <c r="F24" s="403">
        <f>'Consommation appareils'!J51</f>
        <v>598</v>
      </c>
      <c r="G24" s="404">
        <f>'Consommation appareils'!K51</f>
        <v>70.6238</v>
      </c>
      <c r="H24" s="404" t="str">
        <f>'Consommation appareils'!L51</f>
        <v>-</v>
      </c>
      <c r="I24" s="404" t="str">
        <f>'Consommation appareils'!M51</f>
        <v>-</v>
      </c>
      <c r="J24" s="404">
        <f>'Consommation appareils'!N51</f>
        <v>70.97662000000001</v>
      </c>
      <c r="K24" s="406"/>
      <c r="L24" s="406"/>
    </row>
    <row r="25" spans="1:12" ht="27.75" customHeight="1">
      <c r="A25" s="511"/>
      <c r="B25" s="513"/>
      <c r="C25" s="395" t="s">
        <v>738</v>
      </c>
      <c r="D25" s="396"/>
      <c r="E25" s="408"/>
      <c r="F25" s="397">
        <f>'Consommation appareils'!J52</f>
        <v>556</v>
      </c>
      <c r="G25" s="398">
        <f>'Consommation appareils'!K52</f>
        <v>65.6636</v>
      </c>
      <c r="H25" s="398" t="str">
        <f>'Consommation appareils'!L52</f>
        <v>-</v>
      </c>
      <c r="I25" s="398" t="str">
        <f>'Consommation appareils'!M52</f>
        <v>-</v>
      </c>
      <c r="J25" s="398">
        <f>'Consommation appareils'!N52</f>
        <v>65.99164</v>
      </c>
      <c r="K25" s="400"/>
      <c r="L25" s="400"/>
    </row>
    <row r="26" spans="1:12" ht="27.75" customHeight="1">
      <c r="A26" s="511"/>
      <c r="B26" s="513"/>
      <c r="C26" s="401" t="s">
        <v>601</v>
      </c>
      <c r="D26" s="402"/>
      <c r="E26" s="407"/>
      <c r="F26" s="403">
        <f>'Consommation appareils'!J53</f>
        <v>248.784</v>
      </c>
      <c r="G26" s="404">
        <f>'Consommation appareils'!K53</f>
        <v>29.381390399999997</v>
      </c>
      <c r="H26" s="404" t="str">
        <f>'Consommation appareils'!L53</f>
        <v>-</v>
      </c>
      <c r="I26" s="404" t="str">
        <f>'Consommation appareils'!M53</f>
        <v>-</v>
      </c>
      <c r="J26" s="404">
        <f>'Consommation appareils'!N53</f>
        <v>29.52817296</v>
      </c>
      <c r="K26" s="406"/>
      <c r="L26" s="406"/>
    </row>
    <row r="27" spans="1:12" ht="27.75" customHeight="1">
      <c r="A27" s="511"/>
      <c r="B27" s="513"/>
      <c r="C27" s="409" t="s">
        <v>602</v>
      </c>
      <c r="D27" s="396"/>
      <c r="E27" s="410"/>
      <c r="F27" s="397">
        <f>'Consommation appareils'!J54</f>
        <v>169.068</v>
      </c>
      <c r="G27" s="398">
        <f>'Consommation appareils'!K54</f>
        <v>19.9669308</v>
      </c>
      <c r="H27" s="398" t="str">
        <f>'Consommation appareils'!L54</f>
        <v>-</v>
      </c>
      <c r="I27" s="398" t="str">
        <f>'Consommation appareils'!M54</f>
        <v>-</v>
      </c>
      <c r="J27" s="398">
        <f>'Consommation appareils'!N54</f>
        <v>20.066680920000003</v>
      </c>
      <c r="K27" s="411"/>
      <c r="L27" s="411"/>
    </row>
    <row r="28" spans="1:12" ht="27.75" customHeight="1">
      <c r="A28" s="508" t="s">
        <v>603</v>
      </c>
      <c r="B28" s="513" t="s">
        <v>604</v>
      </c>
      <c r="C28" s="401"/>
      <c r="D28" s="402">
        <f>'Consommation appareils'!F55</f>
        <v>4</v>
      </c>
      <c r="E28" s="402" t="str">
        <f>'Consommation appareils'!G55</f>
        <v>h/sem</v>
      </c>
      <c r="F28" s="403">
        <f>'Consommation appareils'!J55</f>
        <v>235.2</v>
      </c>
      <c r="G28" s="404">
        <f>'Consommation appareils'!K55</f>
        <v>27.777119999999996</v>
      </c>
      <c r="H28" s="404" t="str">
        <f>'Consommation appareils'!L55</f>
        <v>-</v>
      </c>
      <c r="I28" s="404">
        <f>'Consommation appareils'!M55</f>
        <v>30.858240000000002</v>
      </c>
      <c r="J28" s="404" t="str">
        <f>'Consommation appareils'!N55</f>
        <v>-</v>
      </c>
      <c r="K28" s="406"/>
      <c r="L28" s="406"/>
    </row>
    <row r="29" spans="1:12" ht="27.75" customHeight="1">
      <c r="A29" s="508"/>
      <c r="B29" s="513"/>
      <c r="C29" s="395" t="s">
        <v>607</v>
      </c>
      <c r="D29" s="396">
        <f>'Consommation appareils'!F56</f>
        <v>3</v>
      </c>
      <c r="E29" s="410" t="str">
        <f>'Consommation appareils'!G56</f>
        <v>toutes les/… /sem.</v>
      </c>
      <c r="F29" s="397">
        <f>'Consommation appareils'!J56</f>
        <v>57.16666666666666</v>
      </c>
      <c r="G29" s="398">
        <f>'Consommation appareils'!K56</f>
        <v>6.751383333333332</v>
      </c>
      <c r="H29" s="398" t="str">
        <f>'Consommation appareils'!L56</f>
        <v>-</v>
      </c>
      <c r="I29" s="398">
        <f>'Consommation appareils'!M56</f>
        <v>7.500266666666666</v>
      </c>
      <c r="J29" s="398" t="str">
        <f>'Consommation appareils'!N56</f>
        <v>-</v>
      </c>
      <c r="K29" s="411"/>
      <c r="L29" s="411"/>
    </row>
    <row r="30" spans="1:12" ht="27.75" customHeight="1">
      <c r="A30" s="508"/>
      <c r="B30" s="144" t="s">
        <v>609</v>
      </c>
      <c r="C30" s="401"/>
      <c r="D30" s="402">
        <f>'Consommation appareils'!F57</f>
        <v>2.3</v>
      </c>
      <c r="E30" s="402" t="str">
        <f>'Consommation appareils'!G57</f>
        <v>h/sem</v>
      </c>
      <c r="F30" s="403">
        <f>'Consommation appareils'!J57</f>
        <v>92.97749999999999</v>
      </c>
      <c r="G30" s="404">
        <f>'Consommation appareils'!K57</f>
        <v>10.98064275</v>
      </c>
      <c r="H30" s="404" t="str">
        <f>'Consommation appareils'!L57</f>
        <v>-</v>
      </c>
      <c r="I30" s="404">
        <f>'Consommation appareils'!M57</f>
        <v>12.198648</v>
      </c>
      <c r="J30" s="404" t="str">
        <f>'Consommation appareils'!N57</f>
        <v>-</v>
      </c>
      <c r="K30" s="406"/>
      <c r="L30" s="406"/>
    </row>
    <row r="31" spans="1:12" ht="27.75" customHeight="1">
      <c r="A31" s="508"/>
      <c r="B31" s="144" t="s">
        <v>611</v>
      </c>
      <c r="C31" s="395"/>
      <c r="D31" s="396">
        <f>'Consommation appareils'!F58</f>
        <v>12</v>
      </c>
      <c r="E31" s="396" t="str">
        <f>'Consommation appareils'!G58</f>
        <v>min/j</v>
      </c>
      <c r="F31" s="397">
        <f>'Consommation appareils'!J58</f>
        <v>54.88</v>
      </c>
      <c r="G31" s="398">
        <f>'Consommation appareils'!K58</f>
        <v>6.481328</v>
      </c>
      <c r="H31" s="398" t="str">
        <f>'Consommation appareils'!L58</f>
        <v>-</v>
      </c>
      <c r="I31" s="398">
        <f>'Consommation appareils'!M58</f>
        <v>7.200256000000001</v>
      </c>
      <c r="J31" s="398" t="str">
        <f>'Consommation appareils'!N58</f>
        <v>-</v>
      </c>
      <c r="K31" s="400"/>
      <c r="L31" s="400"/>
    </row>
    <row r="32" spans="1:12" ht="27.75" customHeight="1">
      <c r="A32" s="508"/>
      <c r="B32" s="144" t="s">
        <v>613</v>
      </c>
      <c r="C32" s="401"/>
      <c r="D32" s="402">
        <f>'Consommation appareils'!F59</f>
        <v>17</v>
      </c>
      <c r="E32" s="402" t="str">
        <f>'Consommation appareils'!G59</f>
        <v>min/j</v>
      </c>
      <c r="F32" s="403">
        <f>'Consommation appareils'!J59</f>
        <v>106.90166666666669</v>
      </c>
      <c r="G32" s="404">
        <f>'Consommation appareils'!K59</f>
        <v>12.625086833333334</v>
      </c>
      <c r="H32" s="404" t="str">
        <f>'Consommation appareils'!L59</f>
        <v>-</v>
      </c>
      <c r="I32" s="404">
        <f>'Consommation appareils'!M59</f>
        <v>14.025498666666671</v>
      </c>
      <c r="J32" s="404" t="str">
        <f>'Consommation appareils'!N59</f>
        <v>-</v>
      </c>
      <c r="K32" s="406"/>
      <c r="L32" s="406"/>
    </row>
    <row r="33" spans="1:12" ht="27.75" customHeight="1">
      <c r="A33" s="508"/>
      <c r="B33" s="510" t="s">
        <v>614</v>
      </c>
      <c r="C33" s="395" t="s">
        <v>615</v>
      </c>
      <c r="D33" s="396">
        <f>'Consommation appareils'!F60</f>
        <v>3.5</v>
      </c>
      <c r="E33" s="396" t="str">
        <f>'Consommation appareils'!G60</f>
        <v>h/sem</v>
      </c>
      <c r="F33" s="397">
        <f>'Consommation appareils'!J60</f>
        <v>198.94</v>
      </c>
      <c r="G33" s="398">
        <f>'Consommation appareils'!K60</f>
        <v>23.494813999999998</v>
      </c>
      <c r="H33" s="398" t="str">
        <f>'Consommation appareils'!L60</f>
        <v>-</v>
      </c>
      <c r="I33" s="398">
        <f>'Consommation appareils'!M60</f>
        <v>26.100928000000003</v>
      </c>
      <c r="J33" s="398" t="str">
        <f>'Consommation appareils'!N60</f>
        <v>-</v>
      </c>
      <c r="K33" s="400"/>
      <c r="L33" s="400"/>
    </row>
    <row r="34" spans="1:12" ht="27.75" customHeight="1">
      <c r="A34" s="508"/>
      <c r="B34" s="510"/>
      <c r="C34" s="401" t="s">
        <v>617</v>
      </c>
      <c r="D34" s="402">
        <f>'Consommation appareils'!F61</f>
        <v>3.5</v>
      </c>
      <c r="E34" s="402" t="str">
        <f>'Consommation appareils'!G61</f>
        <v>h/sem</v>
      </c>
      <c r="F34" s="403">
        <f>'Consommation appareils'!J61</f>
        <v>171.5</v>
      </c>
      <c r="G34" s="404">
        <f>'Consommation appareils'!K61</f>
        <v>20.25415</v>
      </c>
      <c r="H34" s="404" t="str">
        <f>'Consommation appareils'!L61</f>
        <v>-</v>
      </c>
      <c r="I34" s="404">
        <f>'Consommation appareils'!M61</f>
        <v>22.5008</v>
      </c>
      <c r="J34" s="404" t="str">
        <f>'Consommation appareils'!N61</f>
        <v>-</v>
      </c>
      <c r="K34" s="406"/>
      <c r="L34" s="406"/>
    </row>
    <row r="35" spans="1:12" ht="27.75" customHeight="1">
      <c r="A35" s="508"/>
      <c r="B35" s="510"/>
      <c r="C35" s="395" t="s">
        <v>619</v>
      </c>
      <c r="D35" s="396">
        <f>'Consommation appareils'!F62</f>
        <v>3.5</v>
      </c>
      <c r="E35" s="396" t="str">
        <f>'Consommation appareils'!G62</f>
        <v>h/sem</v>
      </c>
      <c r="F35" s="397">
        <f>'Consommation appareils'!J62</f>
        <v>101.185</v>
      </c>
      <c r="G35" s="398">
        <f>'Consommation appareils'!K62</f>
        <v>11.9499485</v>
      </c>
      <c r="H35" s="398" t="str">
        <f>'Consommation appareils'!L62</f>
        <v>-</v>
      </c>
      <c r="I35" s="398">
        <f>'Consommation appareils'!M62</f>
        <v>13.275472</v>
      </c>
      <c r="J35" s="398" t="str">
        <f>'Consommation appareils'!N62</f>
        <v>-</v>
      </c>
      <c r="K35" s="400"/>
      <c r="L35" s="400"/>
    </row>
    <row r="36" spans="1:12" ht="27.75" customHeight="1">
      <c r="A36" s="508" t="s">
        <v>621</v>
      </c>
      <c r="B36" s="144" t="s">
        <v>622</v>
      </c>
      <c r="C36" s="401"/>
      <c r="D36" s="402">
        <f>'Consommation appareils'!F63</f>
        <v>10</v>
      </c>
      <c r="E36" s="402" t="str">
        <f>'Consommation appareils'!G63</f>
        <v>min/j</v>
      </c>
      <c r="F36" s="403">
        <f>'Consommation appareils'!J63</f>
        <v>57.16666666666666</v>
      </c>
      <c r="G36" s="404">
        <f>'Consommation appareils'!K63</f>
        <v>6.751383333333332</v>
      </c>
      <c r="H36" s="404" t="str">
        <f>'Consommation appareils'!L63</f>
        <v>-</v>
      </c>
      <c r="I36" s="404">
        <f>'Consommation appareils'!M63</f>
        <v>7.500266666666666</v>
      </c>
      <c r="J36" s="404" t="str">
        <f>'Consommation appareils'!N63</f>
        <v>-</v>
      </c>
      <c r="K36" s="406"/>
      <c r="L36" s="406"/>
    </row>
    <row r="37" spans="1:12" ht="27.75" customHeight="1">
      <c r="A37" s="508"/>
      <c r="B37" s="144" t="s">
        <v>624</v>
      </c>
      <c r="C37" s="395" t="s">
        <v>57</v>
      </c>
      <c r="D37" s="396">
        <f>'Consommation appareils'!F64</f>
        <v>1</v>
      </c>
      <c r="E37" s="396" t="str">
        <f>'Consommation appareils'!G64</f>
        <v>cafetière/j</v>
      </c>
      <c r="F37" s="397">
        <f>'Consommation appareils'!J64</f>
        <v>34.300000000000004</v>
      </c>
      <c r="G37" s="398">
        <f>'Consommation appareils'!K64</f>
        <v>4.05083</v>
      </c>
      <c r="H37" s="398" t="str">
        <f>'Consommation appareils'!L64</f>
        <v>-</v>
      </c>
      <c r="I37" s="398">
        <f>'Consommation appareils'!M64</f>
        <v>4.500160000000001</v>
      </c>
      <c r="J37" s="398" t="str">
        <f>'Consommation appareils'!N64</f>
        <v>-</v>
      </c>
      <c r="K37" s="400"/>
      <c r="L37" s="400"/>
    </row>
    <row r="38" spans="1:12" ht="27.75" customHeight="1">
      <c r="A38" s="508"/>
      <c r="B38" s="144" t="s">
        <v>628</v>
      </c>
      <c r="C38" s="401"/>
      <c r="D38" s="402">
        <f>'Consommation appareils'!F65</f>
        <v>3</v>
      </c>
      <c r="E38" s="402" t="str">
        <f>'Consommation appareils'!G65</f>
        <v>min/j</v>
      </c>
      <c r="F38" s="403">
        <f>'Consommation appareils'!J65</f>
        <v>15.435</v>
      </c>
      <c r="G38" s="404">
        <f>'Consommation appareils'!K65</f>
        <v>1.8228735</v>
      </c>
      <c r="H38" s="404" t="str">
        <f>'Consommation appareils'!L65</f>
        <v>-</v>
      </c>
      <c r="I38" s="404">
        <f>'Consommation appareils'!M65</f>
        <v>2.025072</v>
      </c>
      <c r="J38" s="404" t="str">
        <f>'Consommation appareils'!N65</f>
        <v>-</v>
      </c>
      <c r="K38" s="406"/>
      <c r="L38" s="406"/>
    </row>
    <row r="39" spans="1:12" ht="27.75" customHeight="1">
      <c r="A39" s="508"/>
      <c r="B39" s="144" t="s">
        <v>630</v>
      </c>
      <c r="C39" s="395"/>
      <c r="D39" s="396">
        <f>'Consommation appareils'!F66</f>
        <v>1.5</v>
      </c>
      <c r="E39" s="396" t="str">
        <f>'Consommation appareils'!G66</f>
        <v>h/sem</v>
      </c>
      <c r="F39" s="397">
        <f>'Consommation appareils'!J66</f>
        <v>36.75</v>
      </c>
      <c r="G39" s="398">
        <f>'Consommation appareils'!K66</f>
        <v>4.3401749999999995</v>
      </c>
      <c r="H39" s="398" t="str">
        <f>'Consommation appareils'!L66</f>
        <v>-</v>
      </c>
      <c r="I39" s="398">
        <f>'Consommation appareils'!M66</f>
        <v>4.8216</v>
      </c>
      <c r="J39" s="398" t="str">
        <f>'Consommation appareils'!N66</f>
        <v>-</v>
      </c>
      <c r="K39" s="400"/>
      <c r="L39" s="400"/>
    </row>
    <row r="40" spans="1:12" ht="27.75" customHeight="1">
      <c r="A40" s="508"/>
      <c r="B40" s="144" t="s">
        <v>631</v>
      </c>
      <c r="C40" s="401"/>
      <c r="D40" s="402">
        <f>'Consommation appareils'!F67</f>
        <v>30</v>
      </c>
      <c r="E40" s="402" t="str">
        <f>'Consommation appareils'!G67</f>
        <v>min/sem</v>
      </c>
      <c r="F40" s="403">
        <f>'Consommation appareils'!J67</f>
        <v>24.5</v>
      </c>
      <c r="G40" s="404">
        <f>'Consommation appareils'!K67</f>
        <v>2.89345</v>
      </c>
      <c r="H40" s="404" t="str">
        <f>'Consommation appareils'!L67</f>
        <v>-</v>
      </c>
      <c r="I40" s="404">
        <f>'Consommation appareils'!M67</f>
        <v>3.2144000000000004</v>
      </c>
      <c r="J40" s="404" t="str">
        <f>'Consommation appareils'!N67</f>
        <v>-</v>
      </c>
      <c r="K40" s="406"/>
      <c r="L40" s="406"/>
    </row>
    <row r="41" spans="1:12" ht="27.75" customHeight="1">
      <c r="A41" s="508"/>
      <c r="B41" s="144" t="s">
        <v>633</v>
      </c>
      <c r="C41" s="395"/>
      <c r="D41" s="396">
        <f>'Consommation appareils'!F68</f>
        <v>30</v>
      </c>
      <c r="E41" s="396" t="str">
        <f>'Consommation appareils'!G68</f>
        <v>min/sem</v>
      </c>
      <c r="F41" s="397">
        <f>'Consommation appareils'!J68</f>
        <v>31.85</v>
      </c>
      <c r="G41" s="398">
        <f>'Consommation appareils'!K68</f>
        <v>3.761485</v>
      </c>
      <c r="H41" s="398" t="str">
        <f>'Consommation appareils'!L68</f>
        <v>-</v>
      </c>
      <c r="I41" s="398">
        <f>'Consommation appareils'!M68</f>
        <v>4.17872</v>
      </c>
      <c r="J41" s="398" t="str">
        <f>'Consommation appareils'!N68</f>
        <v>-</v>
      </c>
      <c r="K41" s="400"/>
      <c r="L41" s="400"/>
    </row>
    <row r="42" spans="1:12" ht="27.75" customHeight="1">
      <c r="A42" s="508" t="s">
        <v>634</v>
      </c>
      <c r="B42" s="147" t="s">
        <v>637</v>
      </c>
      <c r="C42" s="401"/>
      <c r="D42" s="402">
        <f>'Consommation appareils'!F70</f>
        <v>3</v>
      </c>
      <c r="E42" s="402" t="str">
        <f>'Consommation appareils'!G70</f>
        <v>h/jour</v>
      </c>
      <c r="F42" s="403">
        <f>'Consommation appareils'!J70</f>
        <v>0</v>
      </c>
      <c r="G42" s="404">
        <f>'Consommation appareils'!K70</f>
        <v>0</v>
      </c>
      <c r="H42" s="404" t="str">
        <f>'Consommation appareils'!L70</f>
        <v>-</v>
      </c>
      <c r="I42" s="404">
        <f>'Consommation appareils'!M70</f>
        <v>0</v>
      </c>
      <c r="J42" s="404" t="str">
        <f>'Consommation appareils'!N70</f>
        <v>-</v>
      </c>
      <c r="K42" s="406"/>
      <c r="L42" s="406"/>
    </row>
    <row r="43" spans="1:12" ht="27.75" customHeight="1">
      <c r="A43" s="508"/>
      <c r="B43" s="147" t="s">
        <v>638</v>
      </c>
      <c r="C43" s="395"/>
      <c r="D43" s="396">
        <f>'Consommation appareils'!F71</f>
        <v>3</v>
      </c>
      <c r="E43" s="396" t="str">
        <f>'Consommation appareils'!G71</f>
        <v>h/jour</v>
      </c>
      <c r="F43" s="397">
        <f>'Consommation appareils'!J71</f>
        <v>123.48</v>
      </c>
      <c r="G43" s="398">
        <f>'Consommation appareils'!K71</f>
        <v>14.582988</v>
      </c>
      <c r="H43" s="398" t="str">
        <f>'Consommation appareils'!L71</f>
        <v>-</v>
      </c>
      <c r="I43" s="398">
        <f>'Consommation appareils'!M71</f>
        <v>16.200576</v>
      </c>
      <c r="J43" s="398" t="str">
        <f>'Consommation appareils'!N71</f>
        <v>-</v>
      </c>
      <c r="K43" s="400"/>
      <c r="L43" s="400"/>
    </row>
    <row r="44" spans="1:12" ht="27.75" customHeight="1">
      <c r="A44" s="508"/>
      <c r="B44" s="147" t="s">
        <v>639</v>
      </c>
      <c r="C44" s="401"/>
      <c r="D44" s="402">
        <f>'Consommation appareils'!F72</f>
        <v>3</v>
      </c>
      <c r="E44" s="402" t="str">
        <f>'Consommation appareils'!G72</f>
        <v>h/jour</v>
      </c>
      <c r="F44" s="403">
        <f>'Consommation appareils'!J72</f>
        <v>41.16</v>
      </c>
      <c r="G44" s="404">
        <f>'Consommation appareils'!K72</f>
        <v>4.860995999999999</v>
      </c>
      <c r="H44" s="404" t="str">
        <f>'Consommation appareils'!L72</f>
        <v>-</v>
      </c>
      <c r="I44" s="404">
        <f>'Consommation appareils'!M72</f>
        <v>5.400192</v>
      </c>
      <c r="J44" s="404" t="str">
        <f>'Consommation appareils'!N72</f>
        <v>-</v>
      </c>
      <c r="K44" s="406"/>
      <c r="L44" s="406"/>
    </row>
    <row r="45" spans="1:12" ht="27.75" customHeight="1">
      <c r="A45" s="508"/>
      <c r="B45" s="147" t="s">
        <v>635</v>
      </c>
      <c r="C45" s="395"/>
      <c r="D45" s="396">
        <f>'Consommation appareils'!F69</f>
        <v>3</v>
      </c>
      <c r="E45" s="396" t="str">
        <f>'Consommation appareils'!G69</f>
        <v>h/jour</v>
      </c>
      <c r="F45" s="397">
        <f>'Consommation appareils'!J69</f>
        <v>308.7</v>
      </c>
      <c r="G45" s="398">
        <f>'Consommation appareils'!K69</f>
        <v>36.45747</v>
      </c>
      <c r="H45" s="398" t="str">
        <f>'Consommation appareils'!L69</f>
        <v>-</v>
      </c>
      <c r="I45" s="398">
        <f>'Consommation appareils'!M69</f>
        <v>40.50144</v>
      </c>
      <c r="J45" s="398" t="str">
        <f>'Consommation appareils'!N69</f>
        <v>-</v>
      </c>
      <c r="K45" s="400"/>
      <c r="L45" s="400"/>
    </row>
    <row r="46" spans="1:15" ht="27.75" customHeight="1">
      <c r="A46" s="508"/>
      <c r="B46" s="147" t="s">
        <v>643</v>
      </c>
      <c r="C46" s="401"/>
      <c r="D46" s="402">
        <f>'Consommation appareils'!F76</f>
        <v>3</v>
      </c>
      <c r="E46" s="402" t="str">
        <f>'Consommation appareils'!G76</f>
        <v>h/jour</v>
      </c>
      <c r="F46" s="403">
        <f>'Consommation appareils'!J76</f>
        <v>0</v>
      </c>
      <c r="G46" s="404">
        <f>'Consommation appareils'!K76</f>
        <v>0</v>
      </c>
      <c r="H46" s="404" t="str">
        <f>'Consommation appareils'!L76</f>
        <v>-</v>
      </c>
      <c r="I46" s="404">
        <f>'Consommation appareils'!M76</f>
        <v>0</v>
      </c>
      <c r="J46" s="404" t="str">
        <f>'Consommation appareils'!N76</f>
        <v>-</v>
      </c>
      <c r="K46" s="406"/>
      <c r="L46" s="406"/>
      <c r="M46" s="143"/>
      <c r="N46" s="143"/>
      <c r="O46" s="101"/>
    </row>
    <row r="47" spans="1:15" ht="27.75" customHeight="1">
      <c r="A47" s="508"/>
      <c r="B47" s="147" t="s">
        <v>642</v>
      </c>
      <c r="C47" s="395"/>
      <c r="D47" s="396">
        <f>'Consommation appareils'!F75</f>
        <v>3</v>
      </c>
      <c r="E47" s="396" t="str">
        <f>'Consommation appareils'!G75</f>
        <v>h/jour</v>
      </c>
      <c r="F47" s="397">
        <f>'Consommation appareils'!J75</f>
        <v>0</v>
      </c>
      <c r="G47" s="398">
        <f>'Consommation appareils'!K75</f>
        <v>0</v>
      </c>
      <c r="H47" s="398" t="str">
        <f>'Consommation appareils'!L75</f>
        <v>-</v>
      </c>
      <c r="I47" s="398">
        <f>'Consommation appareils'!M75</f>
        <v>0</v>
      </c>
      <c r="J47" s="398" t="str">
        <f>'Consommation appareils'!N75</f>
        <v>-</v>
      </c>
      <c r="K47" s="400"/>
      <c r="L47" s="400"/>
      <c r="M47" s="143"/>
      <c r="N47" s="143"/>
      <c r="O47" s="101"/>
    </row>
    <row r="48" spans="1:12" ht="27.75" customHeight="1">
      <c r="A48" s="508"/>
      <c r="B48" s="147" t="s">
        <v>640</v>
      </c>
      <c r="C48" s="401"/>
      <c r="D48" s="402">
        <f>'Consommation appareils'!F73</f>
        <v>3</v>
      </c>
      <c r="E48" s="402" t="str">
        <f>'Consommation appareils'!G73</f>
        <v>h/jour</v>
      </c>
      <c r="F48" s="403">
        <f>'Consommation appareils'!J73</f>
        <v>61.74</v>
      </c>
      <c r="G48" s="404">
        <f>'Consommation appareils'!K73</f>
        <v>7.291494</v>
      </c>
      <c r="H48" s="404" t="str">
        <f>'Consommation appareils'!L73</f>
        <v>-</v>
      </c>
      <c r="I48" s="404">
        <f>'Consommation appareils'!M73</f>
        <v>8.100288</v>
      </c>
      <c r="J48" s="404" t="str">
        <f>'Consommation appareils'!N73</f>
        <v>-</v>
      </c>
      <c r="K48" s="406"/>
      <c r="L48" s="406"/>
    </row>
    <row r="49" spans="1:12" ht="27.75" customHeight="1">
      <c r="A49" s="508"/>
      <c r="B49" s="144" t="s">
        <v>641</v>
      </c>
      <c r="C49" s="395"/>
      <c r="D49" s="396">
        <f>'Consommation appareils'!F74</f>
        <v>3</v>
      </c>
      <c r="E49" s="396" t="str">
        <f>'Consommation appareils'!G74</f>
        <v>h/jour</v>
      </c>
      <c r="F49" s="397">
        <f>'Consommation appareils'!J74</f>
        <v>30.87</v>
      </c>
      <c r="G49" s="398">
        <f>'Consommation appareils'!K74</f>
        <v>3.645747</v>
      </c>
      <c r="H49" s="398" t="str">
        <f>'Consommation appareils'!L74</f>
        <v>-</v>
      </c>
      <c r="I49" s="398">
        <f>'Consommation appareils'!M74</f>
        <v>4.050144</v>
      </c>
      <c r="J49" s="398" t="str">
        <f>'Consommation appareils'!N74</f>
        <v>-</v>
      </c>
      <c r="K49" s="400"/>
      <c r="L49" s="400"/>
    </row>
    <row r="50" spans="1:12" ht="27.75" customHeight="1">
      <c r="A50" s="508" t="s">
        <v>644</v>
      </c>
      <c r="B50" s="514" t="s">
        <v>645</v>
      </c>
      <c r="C50" s="401" t="s">
        <v>646</v>
      </c>
      <c r="D50" s="402">
        <f>'Consommation appareils'!F77</f>
        <v>5.5</v>
      </c>
      <c r="E50" s="402" t="str">
        <f>'Consommation appareils'!G77</f>
        <v>h/jour</v>
      </c>
      <c r="F50" s="403">
        <f>'Consommation appareils'!J77</f>
        <v>122.6225</v>
      </c>
      <c r="G50" s="404">
        <f>'Consommation appareils'!K77</f>
        <v>14.481717249999999</v>
      </c>
      <c r="H50" s="404" t="str">
        <f>'Consommation appareils'!L77</f>
        <v>-</v>
      </c>
      <c r="I50" s="404">
        <f>'Consommation appareils'!M77</f>
        <v>16.088072</v>
      </c>
      <c r="J50" s="404" t="str">
        <f>'Consommation appareils'!N77</f>
        <v>-</v>
      </c>
      <c r="K50" s="406"/>
      <c r="L50" s="406"/>
    </row>
    <row r="51" spans="1:12" ht="27.75" customHeight="1">
      <c r="A51" s="508"/>
      <c r="B51" s="514"/>
      <c r="C51" s="412" t="s">
        <v>648</v>
      </c>
      <c r="D51" s="396"/>
      <c r="E51" s="408"/>
      <c r="F51" s="397">
        <f>'Consommation appareils'!J78</f>
        <v>19.67105</v>
      </c>
      <c r="G51" s="398">
        <f>'Consommation appareils'!K78</f>
        <v>2.323151005</v>
      </c>
      <c r="H51" s="398" t="str">
        <f>'Consommation appareils'!L78</f>
        <v>-</v>
      </c>
      <c r="I51" s="398" t="str">
        <f>'Consommation appareils'!M78</f>
        <v>-</v>
      </c>
      <c r="J51" s="398">
        <f>'Consommation appareils'!N78</f>
        <v>2.3347569245</v>
      </c>
      <c r="K51" s="400"/>
      <c r="L51" s="400"/>
    </row>
    <row r="52" spans="1:12" ht="27.75" customHeight="1">
      <c r="A52" s="508"/>
      <c r="B52" s="514"/>
      <c r="C52" s="401" t="s">
        <v>650</v>
      </c>
      <c r="D52" s="402">
        <f>'Consommation appareils'!F79</f>
        <v>5.9</v>
      </c>
      <c r="E52" s="402" t="str">
        <f>'Consommation appareils'!G79</f>
        <v>h/jour</v>
      </c>
      <c r="F52" s="403">
        <f>'Consommation appareils'!J79</f>
        <v>202.37</v>
      </c>
      <c r="G52" s="404">
        <f>'Consommation appareils'!K79</f>
        <v>23.899897</v>
      </c>
      <c r="H52" s="404" t="str">
        <f>'Consommation appareils'!L79</f>
        <v>-</v>
      </c>
      <c r="I52" s="404">
        <f>'Consommation appareils'!M79</f>
        <v>26.550944</v>
      </c>
      <c r="J52" s="404" t="str">
        <f>'Consommation appareils'!N79</f>
        <v>-</v>
      </c>
      <c r="K52" s="406"/>
      <c r="L52" s="406"/>
    </row>
    <row r="53" spans="1:12" ht="27.75" customHeight="1">
      <c r="A53" s="508"/>
      <c r="B53" s="514"/>
      <c r="C53" s="395" t="s">
        <v>652</v>
      </c>
      <c r="D53" s="396">
        <f>'Consommation appareils'!F80</f>
        <v>5.9</v>
      </c>
      <c r="E53" s="396" t="str">
        <f>'Consommation appareils'!G80</f>
        <v>h/jour</v>
      </c>
      <c r="F53" s="397">
        <f>'Consommation appareils'!J80</f>
        <v>121.422</v>
      </c>
      <c r="G53" s="398">
        <f>'Consommation appareils'!K80</f>
        <v>14.339938199999999</v>
      </c>
      <c r="H53" s="398" t="str">
        <f>'Consommation appareils'!L80</f>
        <v>-</v>
      </c>
      <c r="I53" s="398">
        <f>'Consommation appareils'!M80</f>
        <v>15.930566400000002</v>
      </c>
      <c r="J53" s="398" t="str">
        <f>'Consommation appareils'!N80</f>
        <v>-</v>
      </c>
      <c r="K53" s="400"/>
      <c r="L53" s="400"/>
    </row>
    <row r="54" spans="1:12" ht="27.75" customHeight="1">
      <c r="A54" s="508"/>
      <c r="B54" s="514"/>
      <c r="C54" s="401" t="s">
        <v>654</v>
      </c>
      <c r="D54" s="402">
        <f>'Consommation appareils'!F81</f>
        <v>5.9</v>
      </c>
      <c r="E54" s="402" t="str">
        <f>'Consommation appareils'!G81</f>
        <v>h/jour</v>
      </c>
      <c r="F54" s="403">
        <f>'Consommation appareils'!J81</f>
        <v>263.081</v>
      </c>
      <c r="G54" s="404">
        <f>'Consommation appareils'!K81</f>
        <v>31.069866100000002</v>
      </c>
      <c r="H54" s="404" t="str">
        <f>'Consommation appareils'!L81</f>
        <v>-</v>
      </c>
      <c r="I54" s="404">
        <f>'Consommation appareils'!M81</f>
        <v>34.5162272</v>
      </c>
      <c r="J54" s="404" t="str">
        <f>'Consommation appareils'!N81</f>
        <v>-</v>
      </c>
      <c r="K54" s="406"/>
      <c r="L54" s="406"/>
    </row>
    <row r="55" spans="1:12" ht="27.75" customHeight="1">
      <c r="A55" s="508"/>
      <c r="B55" s="514"/>
      <c r="C55" s="395" t="s">
        <v>655</v>
      </c>
      <c r="D55" s="396">
        <f>'Consommation appareils'!F82</f>
        <v>5.9</v>
      </c>
      <c r="E55" s="396" t="str">
        <f>'Consommation appareils'!G82</f>
        <v>h/jour</v>
      </c>
      <c r="F55" s="397">
        <f>'Consommation appareils'!J82</f>
        <v>161.896</v>
      </c>
      <c r="G55" s="398">
        <f>'Consommation appareils'!K82</f>
        <v>19.119917599999997</v>
      </c>
      <c r="H55" s="398" t="str">
        <f>'Consommation appareils'!L82</f>
        <v>-</v>
      </c>
      <c r="I55" s="398">
        <f>'Consommation appareils'!M82</f>
        <v>21.2407552</v>
      </c>
      <c r="J55" s="398" t="str">
        <f>'Consommation appareils'!N82</f>
        <v>-</v>
      </c>
      <c r="K55" s="400"/>
      <c r="L55" s="400"/>
    </row>
    <row r="56" spans="1:12" ht="27.75" customHeight="1">
      <c r="A56" s="508"/>
      <c r="B56" s="514"/>
      <c r="C56" s="413" t="s">
        <v>656</v>
      </c>
      <c r="D56" s="402"/>
      <c r="E56" s="407"/>
      <c r="F56" s="403">
        <f>'Consommation appareils'!J83</f>
        <v>11.174940000000003</v>
      </c>
      <c r="G56" s="404">
        <f>'Consommation appareils'!K83</f>
        <v>1.3197604140000003</v>
      </c>
      <c r="H56" s="404"/>
      <c r="I56" s="404" t="str">
        <f>'Consommation appareils'!M83</f>
        <v>-</v>
      </c>
      <c r="J56" s="404">
        <f>'Consommation appareils'!N83</f>
        <v>1.3263536286000002</v>
      </c>
      <c r="K56" s="406"/>
      <c r="L56" s="406"/>
    </row>
    <row r="57" spans="1:12" ht="27.75" customHeight="1">
      <c r="A57" s="508"/>
      <c r="B57" s="514"/>
      <c r="C57" s="395" t="s">
        <v>531</v>
      </c>
      <c r="D57" s="396">
        <f>'Consommation appareils'!F84</f>
        <v>6.1</v>
      </c>
      <c r="E57" s="396" t="str">
        <f>'Consommation appareils'!G84</f>
        <v>h/jour</v>
      </c>
      <c r="F57" s="397">
        <f>'Consommation appareils'!J84</f>
        <v>439.383</v>
      </c>
      <c r="G57" s="398">
        <f>'Consommation appareils'!K84</f>
        <v>51.891132299999995</v>
      </c>
      <c r="H57" s="398" t="str">
        <f>'Consommation appareils'!L84</f>
        <v>-</v>
      </c>
      <c r="I57" s="398">
        <f>'Consommation appareils'!M84</f>
        <v>57.6470496</v>
      </c>
      <c r="J57" s="398" t="str">
        <f>'Consommation appareils'!N84</f>
        <v>-</v>
      </c>
      <c r="K57" s="400"/>
      <c r="L57" s="400"/>
    </row>
    <row r="58" spans="1:12" ht="27.75" customHeight="1">
      <c r="A58" s="508"/>
      <c r="B58" s="514"/>
      <c r="C58" s="401" t="s">
        <v>532</v>
      </c>
      <c r="D58" s="402">
        <f>'Consommation appareils'!F85</f>
        <v>6.1</v>
      </c>
      <c r="E58" s="402" t="str">
        <f>'Consommation appareils'!G85</f>
        <v>h/jour</v>
      </c>
      <c r="F58" s="403">
        <f>'Consommation appareils'!J85</f>
        <v>564.921</v>
      </c>
      <c r="G58" s="404">
        <f>'Consommation appareils'!K85</f>
        <v>66.7171701</v>
      </c>
      <c r="H58" s="404" t="str">
        <f>'Consommation appareils'!L85</f>
        <v>-</v>
      </c>
      <c r="I58" s="404">
        <f>'Consommation appareils'!M85</f>
        <v>74.11763520000001</v>
      </c>
      <c r="J58" s="404" t="str">
        <f>'Consommation appareils'!N85</f>
        <v>-</v>
      </c>
      <c r="K58" s="406"/>
      <c r="L58" s="406"/>
    </row>
    <row r="59" spans="1:23" ht="27.75" customHeight="1">
      <c r="A59" s="508"/>
      <c r="B59" s="514"/>
      <c r="C59" s="395" t="s">
        <v>533</v>
      </c>
      <c r="D59" s="396">
        <f>'Consommation appareils'!F86</f>
        <v>6.1</v>
      </c>
      <c r="E59" s="396" t="str">
        <f>'Consommation appareils'!G86</f>
        <v>h/jour</v>
      </c>
      <c r="F59" s="397">
        <f>'Consommation appareils'!J86</f>
        <v>278.2759</v>
      </c>
      <c r="G59" s="398">
        <f>'Consommation appareils'!K86</f>
        <v>32.86438379</v>
      </c>
      <c r="H59" s="398" t="str">
        <f>'Consommation appareils'!L86</f>
        <v>-</v>
      </c>
      <c r="I59" s="398">
        <f>'Consommation appareils'!M86</f>
        <v>36.50979808</v>
      </c>
      <c r="J59" s="398" t="str">
        <f>'Consommation appareils'!N86</f>
        <v>-</v>
      </c>
      <c r="K59" s="400"/>
      <c r="L59" s="400"/>
      <c r="M59" s="99"/>
      <c r="N59" s="99"/>
      <c r="O59" s="97"/>
      <c r="P59" s="99"/>
      <c r="Q59" s="414"/>
      <c r="R59" s="414"/>
      <c r="S59" s="415"/>
      <c r="T59" s="72"/>
      <c r="U59" s="72"/>
      <c r="V59" s="72"/>
      <c r="W59" s="72"/>
    </row>
    <row r="60" spans="1:12" ht="27.75" customHeight="1">
      <c r="A60" s="508"/>
      <c r="B60" s="514"/>
      <c r="C60" s="413" t="s">
        <v>534</v>
      </c>
      <c r="D60" s="402"/>
      <c r="E60" s="407"/>
      <c r="F60" s="403">
        <f>'Consommation appareils'!J87</f>
        <v>9.82352</v>
      </c>
      <c r="G60" s="404">
        <f>'Consommation appareils'!K87</f>
        <v>1.160157712</v>
      </c>
      <c r="H60" s="404" t="str">
        <f>'Consommation appareils'!L87</f>
        <v>-</v>
      </c>
      <c r="I60" s="404" t="str">
        <f>'Consommation appareils'!M87</f>
        <v>-</v>
      </c>
      <c r="J60" s="404">
        <f>'Consommation appareils'!N87</f>
        <v>1.1659535888</v>
      </c>
      <c r="K60" s="406"/>
      <c r="L60" s="406"/>
    </row>
    <row r="61" spans="1:12" ht="27.75" customHeight="1">
      <c r="A61" s="508"/>
      <c r="B61" s="514" t="s">
        <v>535</v>
      </c>
      <c r="C61" s="395" t="s">
        <v>536</v>
      </c>
      <c r="D61" s="396"/>
      <c r="E61" s="408"/>
      <c r="F61" s="397">
        <f>'Consommation appareils'!J88</f>
        <v>148.92</v>
      </c>
      <c r="G61" s="398">
        <f>'Consommation appareils'!K88</f>
        <v>17.587452</v>
      </c>
      <c r="H61" s="398" t="str">
        <f>'Consommation appareils'!L88</f>
        <v>-</v>
      </c>
      <c r="I61" s="398" t="str">
        <f>'Consommation appareils'!M88</f>
        <v>-</v>
      </c>
      <c r="J61" s="398">
        <f>'Consommation appareils'!N88</f>
        <v>17.6753148</v>
      </c>
      <c r="K61" s="400"/>
      <c r="L61" s="400"/>
    </row>
    <row r="62" spans="1:12" ht="27.75" customHeight="1">
      <c r="A62" s="508"/>
      <c r="B62" s="514"/>
      <c r="C62" s="401" t="s">
        <v>538</v>
      </c>
      <c r="D62" s="402"/>
      <c r="E62" s="407"/>
      <c r="F62" s="403">
        <f>'Consommation appareils'!J89</f>
        <v>14.994</v>
      </c>
      <c r="G62" s="404">
        <f>'Consommation appareils'!K89</f>
        <v>1.7707914</v>
      </c>
      <c r="H62" s="404" t="str">
        <f>'Consommation appareils'!L89</f>
        <v>-</v>
      </c>
      <c r="I62" s="404" t="str">
        <f>'Consommation appareils'!M89</f>
        <v>-</v>
      </c>
      <c r="J62" s="404">
        <f>'Consommation appareils'!N89</f>
        <v>1.77963786</v>
      </c>
      <c r="K62" s="406"/>
      <c r="L62" s="406"/>
    </row>
    <row r="63" spans="1:12" ht="27.75" customHeight="1">
      <c r="A63" s="508"/>
      <c r="B63" s="514" t="s">
        <v>540</v>
      </c>
      <c r="C63" s="395"/>
      <c r="D63" s="396">
        <f>'Consommation appareils'!F90</f>
        <v>1</v>
      </c>
      <c r="E63" s="396" t="str">
        <f>'Consommation appareils'!G90</f>
        <v>h/jour</v>
      </c>
      <c r="F63" s="397">
        <f>'Consommation appareils'!J90</f>
        <v>3.3614000000000006</v>
      </c>
      <c r="G63" s="398">
        <f>'Consommation appareils'!K90</f>
        <v>0.39698134000000007</v>
      </c>
      <c r="H63" s="398" t="str">
        <f>'Consommation appareils'!L90</f>
        <v>-</v>
      </c>
      <c r="I63" s="398">
        <f>'Consommation appareils'!M90</f>
        <v>0.44101568000000013</v>
      </c>
      <c r="J63" s="398" t="str">
        <f>'Consommation appareils'!N90</f>
        <v>-</v>
      </c>
      <c r="K63" s="400"/>
      <c r="L63" s="400"/>
    </row>
    <row r="64" spans="1:12" ht="27.75" customHeight="1">
      <c r="A64" s="508"/>
      <c r="B64" s="514"/>
      <c r="C64" s="413" t="s">
        <v>542</v>
      </c>
      <c r="D64" s="402"/>
      <c r="E64" s="407"/>
      <c r="F64" s="403">
        <f>'Consommation appareils'!J91</f>
        <v>20.0928</v>
      </c>
      <c r="G64" s="404">
        <f>'Consommation appareils'!K91</f>
        <v>2.37295968</v>
      </c>
      <c r="H64" s="404" t="str">
        <f>'Consommation appareils'!L91</f>
        <v>-</v>
      </c>
      <c r="I64" s="404" t="str">
        <f>'Consommation appareils'!M91</f>
        <v>-</v>
      </c>
      <c r="J64" s="404">
        <f>'Consommation appareils'!N91</f>
        <v>2.3848144319999998</v>
      </c>
      <c r="K64" s="406"/>
      <c r="L64" s="406"/>
    </row>
    <row r="65" spans="1:12" ht="27.75" customHeight="1">
      <c r="A65" s="508"/>
      <c r="B65" s="515" t="s">
        <v>543</v>
      </c>
      <c r="C65" s="395"/>
      <c r="D65" s="396">
        <f>'Consommation appareils'!F92</f>
        <v>1</v>
      </c>
      <c r="E65" s="396" t="str">
        <f>'Consommation appareils'!G92</f>
        <v>h/jour</v>
      </c>
      <c r="F65" s="397">
        <f>'Consommation appareils'!J92</f>
        <v>6.1054</v>
      </c>
      <c r="G65" s="398">
        <f>'Consommation appareils'!K92</f>
        <v>0.72104774</v>
      </c>
      <c r="H65" s="398" t="str">
        <f>'Consommation appareils'!L92</f>
        <v>-</v>
      </c>
      <c r="I65" s="398">
        <f>'Consommation appareils'!M92</f>
        <v>0.8010284800000002</v>
      </c>
      <c r="J65" s="398" t="str">
        <f>'Consommation appareils'!N92</f>
        <v>-</v>
      </c>
      <c r="K65" s="400"/>
      <c r="L65" s="400"/>
    </row>
    <row r="66" spans="1:12" ht="27.75" customHeight="1">
      <c r="A66" s="508"/>
      <c r="B66" s="515"/>
      <c r="C66" s="413" t="s">
        <v>542</v>
      </c>
      <c r="D66" s="402"/>
      <c r="E66" s="407"/>
      <c r="F66" s="403">
        <f>'Consommation appareils'!J93</f>
        <v>31.813599999999997</v>
      </c>
      <c r="G66" s="404">
        <f>'Consommation appareils'!K93</f>
        <v>3.7571861599999994</v>
      </c>
      <c r="H66" s="404" t="str">
        <f>'Consommation appareils'!L93</f>
        <v>-</v>
      </c>
      <c r="I66" s="404" t="str">
        <f>'Consommation appareils'!M93</f>
        <v>-</v>
      </c>
      <c r="J66" s="404">
        <f>'Consommation appareils'!N93</f>
        <v>3.7759561839999995</v>
      </c>
      <c r="K66" s="406"/>
      <c r="L66" s="406"/>
    </row>
    <row r="67" spans="1:12" ht="27.75" customHeight="1">
      <c r="A67" s="508"/>
      <c r="B67" s="514" t="s">
        <v>545</v>
      </c>
      <c r="C67" s="395"/>
      <c r="D67" s="396">
        <f>'Consommation appareils'!F94</f>
        <v>4</v>
      </c>
      <c r="E67" s="396" t="str">
        <f>'Consommation appareils'!G94</f>
        <v>h/sem</v>
      </c>
      <c r="F67" s="397">
        <f>'Consommation appareils'!J94</f>
        <v>39.2</v>
      </c>
      <c r="G67" s="398">
        <f>'Consommation appareils'!K94</f>
        <v>4.62952</v>
      </c>
      <c r="H67" s="398" t="str">
        <f>'Consommation appareils'!L94</f>
        <v>-</v>
      </c>
      <c r="I67" s="398">
        <f>'Consommation appareils'!M94</f>
        <v>5.143040000000001</v>
      </c>
      <c r="J67" s="398" t="str">
        <f>'Consommation appareils'!N94</f>
        <v>-</v>
      </c>
      <c r="K67" s="400"/>
      <c r="L67" s="400"/>
    </row>
    <row r="68" spans="1:12" ht="27.75" customHeight="1">
      <c r="A68" s="508"/>
      <c r="B68" s="514"/>
      <c r="C68" s="413" t="s">
        <v>542</v>
      </c>
      <c r="D68" s="402"/>
      <c r="E68" s="407"/>
      <c r="F68" s="403">
        <f>'Consommation appareils'!J95</f>
        <v>21.84</v>
      </c>
      <c r="G68" s="404">
        <f>'Consommation appareils'!K95</f>
        <v>2.579304</v>
      </c>
      <c r="H68" s="404" t="str">
        <f>'Consommation appareils'!L95</f>
        <v>-</v>
      </c>
      <c r="I68" s="404" t="str">
        <f>'Consommation appareils'!M95</f>
        <v>-</v>
      </c>
      <c r="J68" s="404">
        <f>'Consommation appareils'!N95</f>
        <v>2.5921896</v>
      </c>
      <c r="K68" s="406"/>
      <c r="L68" s="406"/>
    </row>
    <row r="69" spans="1:12" ht="27.75" customHeight="1">
      <c r="A69" s="508"/>
      <c r="B69" s="514" t="s">
        <v>547</v>
      </c>
      <c r="C69" s="395"/>
      <c r="D69" s="396">
        <f>'Consommation appareils'!F96</f>
        <v>1</v>
      </c>
      <c r="E69" s="396" t="str">
        <f>'Consommation appareils'!G96</f>
        <v>h/jour</v>
      </c>
      <c r="F69" s="397">
        <f>'Consommation appareils'!J96</f>
        <v>18.865</v>
      </c>
      <c r="G69" s="398">
        <f>'Consommation appareils'!K96</f>
        <v>2.2279565</v>
      </c>
      <c r="H69" s="398" t="str">
        <f>'Consommation appareils'!L96</f>
        <v>-</v>
      </c>
      <c r="I69" s="398">
        <f>'Consommation appareils'!M96</f>
        <v>2.475088</v>
      </c>
      <c r="J69" s="398" t="str">
        <f>'Consommation appareils'!N96</f>
        <v>-</v>
      </c>
      <c r="K69" s="400"/>
      <c r="L69" s="400"/>
    </row>
    <row r="70" spans="1:12" ht="27.75" customHeight="1">
      <c r="A70" s="508"/>
      <c r="B70" s="514"/>
      <c r="C70" s="413" t="s">
        <v>542</v>
      </c>
      <c r="D70" s="402"/>
      <c r="E70" s="407"/>
      <c r="F70" s="403">
        <f>'Consommation appareils'!J97</f>
        <v>35.9996</v>
      </c>
      <c r="G70" s="404">
        <f>'Consommation appareils'!K97</f>
        <v>4.25155276</v>
      </c>
      <c r="H70" s="404" t="str">
        <f>'Consommation appareils'!L97</f>
        <v>-</v>
      </c>
      <c r="I70" s="404" t="str">
        <f>'Consommation appareils'!M97</f>
        <v>-</v>
      </c>
      <c r="J70" s="404">
        <f>'Consommation appareils'!N97</f>
        <v>4.272792524000001</v>
      </c>
      <c r="K70" s="406"/>
      <c r="L70" s="406"/>
    </row>
    <row r="71" spans="1:12" ht="27.75" customHeight="1">
      <c r="A71" s="516" t="s">
        <v>548</v>
      </c>
      <c r="B71" s="514" t="s">
        <v>549</v>
      </c>
      <c r="C71" s="416"/>
      <c r="D71" s="396">
        <f>'Consommation appareils'!F98</f>
        <v>7.5</v>
      </c>
      <c r="E71" s="396" t="str">
        <f>'Consommation appareils'!G98</f>
        <v>h/jour</v>
      </c>
      <c r="F71" s="397">
        <f>'Consommation appareils'!J98</f>
        <v>210.945</v>
      </c>
      <c r="G71" s="398">
        <f>'Consommation appareils'!K98</f>
        <v>24.912604499999997</v>
      </c>
      <c r="H71" s="398" t="str">
        <f>'Consommation appareils'!L98</f>
        <v>-</v>
      </c>
      <c r="I71" s="398">
        <f>'Consommation appareils'!M98</f>
        <v>27.675984</v>
      </c>
      <c r="J71" s="398" t="str">
        <f>'Consommation appareils'!N98</f>
        <v>-</v>
      </c>
      <c r="K71" s="417"/>
      <c r="L71" s="417"/>
    </row>
    <row r="72" spans="1:12" ht="27.75" customHeight="1">
      <c r="A72" s="516"/>
      <c r="B72" s="514"/>
      <c r="C72" s="413" t="s">
        <v>542</v>
      </c>
      <c r="D72" s="402">
        <f>'Consommation appareils'!F99</f>
        <v>12</v>
      </c>
      <c r="E72" s="402" t="str">
        <f>'Consommation appareils'!G99</f>
        <v>h/jour</v>
      </c>
      <c r="F72" s="403">
        <f>'Consommation appareils'!J99</f>
        <v>13.582799999999997</v>
      </c>
      <c r="G72" s="404">
        <f>'Consommation appareils'!K99</f>
        <v>1.6041286799999996</v>
      </c>
      <c r="H72" s="404" t="str">
        <f>'Consommation appareils'!L99</f>
        <v>-</v>
      </c>
      <c r="I72" s="404" t="str">
        <f>'Consommation appareils'!M99</f>
        <v>-</v>
      </c>
      <c r="J72" s="404">
        <f>'Consommation appareils'!N99</f>
        <v>1.612142532</v>
      </c>
      <c r="K72" s="406"/>
      <c r="L72" s="406"/>
    </row>
    <row r="73" spans="1:12" ht="27.75" customHeight="1">
      <c r="A73" s="516"/>
      <c r="B73" s="514" t="s">
        <v>550</v>
      </c>
      <c r="C73" s="395"/>
      <c r="D73" s="396">
        <f>'Consommation appareils'!F100</f>
        <v>5</v>
      </c>
      <c r="E73" s="396" t="str">
        <f>'Consommation appareils'!G100</f>
        <v>h/jour</v>
      </c>
      <c r="F73" s="397">
        <f>'Consommation appareils'!J100</f>
        <v>111.475</v>
      </c>
      <c r="G73" s="398">
        <f>'Consommation appareils'!K100</f>
        <v>13.1651975</v>
      </c>
      <c r="H73" s="398" t="str">
        <f>'Consommation appareils'!L100</f>
        <v>-</v>
      </c>
      <c r="I73" s="398">
        <f>'Consommation appareils'!M100</f>
        <v>14.62552</v>
      </c>
      <c r="J73" s="398" t="str">
        <f>'Consommation appareils'!N100</f>
        <v>-</v>
      </c>
      <c r="K73" s="400"/>
      <c r="L73" s="400"/>
    </row>
    <row r="74" spans="1:12" ht="27.75" customHeight="1">
      <c r="A74" s="516"/>
      <c r="B74" s="514"/>
      <c r="C74" s="413" t="s">
        <v>542</v>
      </c>
      <c r="D74" s="402">
        <f>'Consommation appareils'!F101</f>
        <v>12</v>
      </c>
      <c r="E74" s="402" t="str">
        <f>'Consommation appareils'!G101</f>
        <v>h/jour</v>
      </c>
      <c r="F74" s="403">
        <f>'Consommation appareils'!J101</f>
        <v>14.817600000000002</v>
      </c>
      <c r="G74" s="404">
        <f>'Consommation appareils'!K101</f>
        <v>1.7499585600000003</v>
      </c>
      <c r="H74" s="404" t="str">
        <f>'Consommation appareils'!L101</f>
        <v>-</v>
      </c>
      <c r="I74" s="404" t="str">
        <f>'Consommation appareils'!M101</f>
        <v>-</v>
      </c>
      <c r="J74" s="404">
        <f>'Consommation appareils'!N101</f>
        <v>1.7587009440000003</v>
      </c>
      <c r="K74" s="406"/>
      <c r="L74" s="406"/>
    </row>
    <row r="75" spans="1:12" ht="27.75" customHeight="1">
      <c r="A75" s="516"/>
      <c r="B75" s="514" t="s">
        <v>551</v>
      </c>
      <c r="C75" s="395" t="s">
        <v>552</v>
      </c>
      <c r="D75" s="396">
        <f>'Consommation appareils'!F102</f>
        <v>5</v>
      </c>
      <c r="E75" s="396" t="str">
        <f>'Consommation appareils'!G102</f>
        <v>h/jour</v>
      </c>
      <c r="F75" s="397">
        <f>'Consommation appareils'!J102</f>
        <v>29.155</v>
      </c>
      <c r="G75" s="398">
        <f>'Consommation appareils'!K102</f>
        <v>3.4432055</v>
      </c>
      <c r="H75" s="398" t="str">
        <f>'Consommation appareils'!L102</f>
        <v>-</v>
      </c>
      <c r="I75" s="398">
        <f>'Consommation appareils'!M102</f>
        <v>3.8251360000000005</v>
      </c>
      <c r="J75" s="398" t="str">
        <f>'Consommation appareils'!N102</f>
        <v>-</v>
      </c>
      <c r="K75" s="400"/>
      <c r="L75" s="400"/>
    </row>
    <row r="76" spans="1:12" ht="27.75" customHeight="1">
      <c r="A76" s="516"/>
      <c r="B76" s="514"/>
      <c r="C76" s="401" t="s">
        <v>553</v>
      </c>
      <c r="D76" s="402">
        <f>'Consommation appareils'!F103</f>
        <v>5</v>
      </c>
      <c r="E76" s="402" t="str">
        <f>'Consommation appareils'!G103</f>
        <v>h/jour</v>
      </c>
      <c r="F76" s="403">
        <f>'Consommation appareils'!J103</f>
        <v>50.764</v>
      </c>
      <c r="G76" s="404">
        <f>'Consommation appareils'!K103</f>
        <v>5.9952284</v>
      </c>
      <c r="H76" s="404" t="str">
        <f>'Consommation appareils'!L103</f>
        <v>-</v>
      </c>
      <c r="I76" s="404">
        <f>'Consommation appareils'!M103</f>
        <v>6.660236800000001</v>
      </c>
      <c r="J76" s="404" t="str">
        <f>'Consommation appareils'!N103</f>
        <v>-</v>
      </c>
      <c r="K76" s="406"/>
      <c r="L76" s="406"/>
    </row>
    <row r="77" spans="1:12" ht="27.75" customHeight="1">
      <c r="A77" s="516"/>
      <c r="B77" s="514"/>
      <c r="C77" s="412" t="s">
        <v>542</v>
      </c>
      <c r="D77" s="396">
        <f>'Consommation appareils'!F104</f>
        <v>12</v>
      </c>
      <c r="E77" s="396" t="str">
        <f>'Consommation appareils'!G104</f>
        <v>h/jour</v>
      </c>
      <c r="F77" s="397">
        <f>'Consommation appareils'!J104</f>
        <v>4.116</v>
      </c>
      <c r="G77" s="398">
        <f>'Consommation appareils'!K104</f>
        <v>0.48609959999999997</v>
      </c>
      <c r="H77" s="398" t="str">
        <f>'Consommation appareils'!L104</f>
        <v>-</v>
      </c>
      <c r="I77" s="398" t="str">
        <f>'Consommation appareils'!M104</f>
        <v>-</v>
      </c>
      <c r="J77" s="398">
        <f>'Consommation appareils'!N104</f>
        <v>0.48852803999999994</v>
      </c>
      <c r="K77" s="400"/>
      <c r="L77" s="400"/>
    </row>
    <row r="78" spans="1:12" ht="27.75" customHeight="1">
      <c r="A78" s="516"/>
      <c r="B78" s="514" t="s">
        <v>554</v>
      </c>
      <c r="C78" s="401"/>
      <c r="D78" s="402">
        <f>'Consommation appareils'!F105</f>
        <v>4</v>
      </c>
      <c r="E78" s="402" t="str">
        <f>'Consommation appareils'!G105</f>
        <v>h/jour</v>
      </c>
      <c r="F78" s="403">
        <f>'Consommation appareils'!J105</f>
        <v>54.88</v>
      </c>
      <c r="G78" s="404">
        <f>'Consommation appareils'!K105</f>
        <v>6.481328</v>
      </c>
      <c r="H78" s="404" t="str">
        <f>'Consommation appareils'!L105</f>
        <v>-</v>
      </c>
      <c r="I78" s="404">
        <f>'Consommation appareils'!M105</f>
        <v>7.200256000000001</v>
      </c>
      <c r="J78" s="404" t="str">
        <f>'Consommation appareils'!N105</f>
        <v>-</v>
      </c>
      <c r="K78" s="406"/>
      <c r="L78" s="406"/>
    </row>
    <row r="79" spans="1:12" ht="27.75" customHeight="1">
      <c r="A79" s="516"/>
      <c r="B79" s="514"/>
      <c r="C79" s="412" t="s">
        <v>542</v>
      </c>
      <c r="D79" s="396">
        <f>'Consommation appareils'!F106</f>
        <v>12</v>
      </c>
      <c r="E79" s="396" t="str">
        <f>'Consommation appareils'!G106</f>
        <v>h/jour</v>
      </c>
      <c r="F79" s="397">
        <f>'Consommation appareils'!J106</f>
        <v>7.408800000000001</v>
      </c>
      <c r="G79" s="398">
        <f>'Consommation appareils'!K106</f>
        <v>0.8749792800000001</v>
      </c>
      <c r="H79" s="398" t="str">
        <f>'Consommation appareils'!L106</f>
        <v>-</v>
      </c>
      <c r="I79" s="398" t="str">
        <f>'Consommation appareils'!M106</f>
        <v>-</v>
      </c>
      <c r="J79" s="398">
        <f>'Consommation appareils'!N106</f>
        <v>0.8793504720000002</v>
      </c>
      <c r="K79" s="400"/>
      <c r="L79" s="400"/>
    </row>
    <row r="80" spans="1:12" ht="27.75" customHeight="1">
      <c r="A80" s="516"/>
      <c r="B80" s="144" t="s">
        <v>555</v>
      </c>
      <c r="C80" s="401"/>
      <c r="D80" s="402"/>
      <c r="E80" s="407"/>
      <c r="F80" s="403">
        <f>'Consommation appareils'!J107</f>
        <v>78.84</v>
      </c>
      <c r="G80" s="404">
        <f>'Consommation appareils'!K107</f>
        <v>9.311004</v>
      </c>
      <c r="H80" s="404" t="str">
        <f>'Consommation appareils'!L107</f>
        <v>-</v>
      </c>
      <c r="I80" s="404" t="str">
        <f>'Consommation appareils'!M107</f>
        <v>-</v>
      </c>
      <c r="J80" s="404">
        <f>'Consommation appareils'!N107</f>
        <v>9.3575196</v>
      </c>
      <c r="K80" s="406"/>
      <c r="L80" s="406"/>
    </row>
    <row r="81" spans="1:12" ht="27.75" customHeight="1">
      <c r="A81" s="516"/>
      <c r="B81" s="514" t="s">
        <v>556</v>
      </c>
      <c r="C81" s="395" t="s">
        <v>557</v>
      </c>
      <c r="D81" s="396">
        <f>'Consommation appareils'!F108</f>
        <v>1.75</v>
      </c>
      <c r="E81" s="396" t="str">
        <f>'Consommation appareils'!G108</f>
        <v>h/jour</v>
      </c>
      <c r="F81" s="397">
        <f>'Consommation appareils'!J108</f>
        <v>15.00625</v>
      </c>
      <c r="G81" s="398">
        <f>'Consommation appareils'!K108</f>
        <v>1.7722381249999999</v>
      </c>
      <c r="H81" s="398" t="str">
        <f>'Consommation appareils'!L108</f>
        <v>-</v>
      </c>
      <c r="I81" s="398">
        <f>'Consommation appareils'!M108</f>
        <v>1.96882</v>
      </c>
      <c r="J81" s="398" t="str">
        <f>'Consommation appareils'!N108</f>
        <v>-</v>
      </c>
      <c r="K81" s="400"/>
      <c r="L81" s="400"/>
    </row>
    <row r="82" spans="1:12" ht="27.75" customHeight="1">
      <c r="A82" s="516"/>
      <c r="B82" s="514"/>
      <c r="C82" s="401" t="s">
        <v>558</v>
      </c>
      <c r="D82" s="402">
        <f>'Consommation appareils'!F109</f>
        <v>1.75</v>
      </c>
      <c r="E82" s="402" t="str">
        <f>'Consommation appareils'!G109</f>
        <v>h/jour</v>
      </c>
      <c r="F82" s="403">
        <f>'Consommation appareils'!J109</f>
        <v>21.00875</v>
      </c>
      <c r="G82" s="404">
        <f>'Consommation appareils'!K109</f>
        <v>2.4811333749999998</v>
      </c>
      <c r="H82" s="404" t="str">
        <f>'Consommation appareils'!L109</f>
        <v>-</v>
      </c>
      <c r="I82" s="404">
        <f>'Consommation appareils'!M109</f>
        <v>2.756348</v>
      </c>
      <c r="J82" s="404" t="str">
        <f>'Consommation appareils'!N109</f>
        <v>-</v>
      </c>
      <c r="K82" s="406"/>
      <c r="L82" s="406"/>
    </row>
    <row r="83" spans="1:12" ht="27.75" customHeight="1">
      <c r="A83" s="516"/>
      <c r="B83" s="514"/>
      <c r="C83" s="412" t="s">
        <v>542</v>
      </c>
      <c r="D83" s="396">
        <f>'Consommation appareils'!F110</f>
        <v>13</v>
      </c>
      <c r="E83" s="396" t="str">
        <f>'Consommation appareils'!G110</f>
        <v>h/jour</v>
      </c>
      <c r="F83" s="397">
        <f>'Consommation appareils'!J110</f>
        <v>11.5934</v>
      </c>
      <c r="G83" s="398">
        <f>'Consommation appareils'!K110</f>
        <v>1.3691805400000001</v>
      </c>
      <c r="H83" s="398" t="str">
        <f>'Consommation appareils'!L110</f>
        <v>-</v>
      </c>
      <c r="I83" s="398" t="str">
        <f>'Consommation appareils'!M110</f>
        <v>-</v>
      </c>
      <c r="J83" s="398">
        <f>'Consommation appareils'!N110</f>
        <v>1.376020646</v>
      </c>
      <c r="K83" s="400"/>
      <c r="L83" s="400"/>
    </row>
    <row r="84" spans="1:12" ht="27.75" customHeight="1">
      <c r="A84" s="516"/>
      <c r="B84" s="514" t="s">
        <v>559</v>
      </c>
      <c r="C84" s="401"/>
      <c r="D84" s="402">
        <f>'Consommation appareils'!F111</f>
        <v>1</v>
      </c>
      <c r="E84" s="402" t="str">
        <f>'Consommation appareils'!G111</f>
        <v>h/jour</v>
      </c>
      <c r="F84" s="403">
        <f>'Consommation appareils'!J111</f>
        <v>8.575</v>
      </c>
      <c r="G84" s="404">
        <f>'Consommation appareils'!K111</f>
        <v>1.0127074999999999</v>
      </c>
      <c r="H84" s="404" t="str">
        <f>'Consommation appareils'!L111</f>
        <v>-</v>
      </c>
      <c r="I84" s="404">
        <f>'Consommation appareils'!M111</f>
        <v>1.12504</v>
      </c>
      <c r="J84" s="404" t="str">
        <f>'Consommation appareils'!N111</f>
        <v>-</v>
      </c>
      <c r="K84" s="406"/>
      <c r="L84" s="406"/>
    </row>
    <row r="85" spans="1:12" ht="27.75" customHeight="1">
      <c r="A85" s="516"/>
      <c r="B85" s="514"/>
      <c r="C85" s="412" t="s">
        <v>542</v>
      </c>
      <c r="D85" s="396">
        <f>'Consommation appareils'!F112</f>
        <v>12</v>
      </c>
      <c r="E85" s="396" t="str">
        <f>'Consommation appareils'!G112</f>
        <v>h/jour</v>
      </c>
      <c r="F85" s="397">
        <f>'Consommation appareils'!J112</f>
        <v>25.930799999999994</v>
      </c>
      <c r="G85" s="398">
        <f>'Consommation appareils'!K112</f>
        <v>3.0624274799999993</v>
      </c>
      <c r="H85" s="398" t="str">
        <f>'Consommation appareils'!L112</f>
        <v>-</v>
      </c>
      <c r="I85" s="398" t="str">
        <f>'Consommation appareils'!M112</f>
        <v>-</v>
      </c>
      <c r="J85" s="398">
        <f>'Consommation appareils'!N112</f>
        <v>3.0777266519999995</v>
      </c>
      <c r="K85" s="400"/>
      <c r="L85" s="400"/>
    </row>
    <row r="86" spans="1:12" ht="27.75" customHeight="1">
      <c r="A86" s="516"/>
      <c r="B86" s="144" t="s">
        <v>560</v>
      </c>
      <c r="C86" s="401"/>
      <c r="D86" s="402"/>
      <c r="E86" s="407"/>
      <c r="F86" s="403">
        <f>'Consommation appareils'!J113</f>
        <v>25.403999999999996</v>
      </c>
      <c r="G86" s="404">
        <f>'Consommation appareils'!K113</f>
        <v>3.0002123999999997</v>
      </c>
      <c r="H86" s="404" t="str">
        <f>'Consommation appareils'!L113</f>
        <v>-</v>
      </c>
      <c r="I86" s="404" t="str">
        <f>'Consommation appareils'!M113</f>
        <v>-</v>
      </c>
      <c r="J86" s="404">
        <f>'Consommation appareils'!N113</f>
        <v>3.01520076</v>
      </c>
      <c r="K86" s="406"/>
      <c r="L86" s="406"/>
    </row>
    <row r="87" spans="1:12" ht="27.75" customHeight="1">
      <c r="A87" s="516"/>
      <c r="B87" s="162" t="s">
        <v>562</v>
      </c>
      <c r="C87" s="395"/>
      <c r="D87" s="396">
        <f>'Consommation appareils'!F114</f>
        <v>2</v>
      </c>
      <c r="E87" s="396" t="str">
        <f>'Consommation appareils'!G114</f>
        <v>charges/sem</v>
      </c>
      <c r="F87" s="397">
        <f>'Consommation appareils'!J114</f>
        <v>4.9</v>
      </c>
      <c r="G87" s="398">
        <f>'Consommation appareils'!K114</f>
        <v>0.57869</v>
      </c>
      <c r="H87" s="398" t="str">
        <f>'Consommation appareils'!L114</f>
        <v>-</v>
      </c>
      <c r="I87" s="398">
        <f>'Consommation appareils'!M114</f>
        <v>0.6428800000000001</v>
      </c>
      <c r="J87" s="398" t="str">
        <f>'Consommation appareils'!N114</f>
        <v>-</v>
      </c>
      <c r="K87" s="400"/>
      <c r="L87" s="400"/>
    </row>
    <row r="88" spans="1:12" ht="27.75" customHeight="1">
      <c r="A88" s="508" t="s">
        <v>565</v>
      </c>
      <c r="B88" s="517" t="s">
        <v>566</v>
      </c>
      <c r="C88" s="401"/>
      <c r="D88" s="402">
        <f>'Consommation appareils'!F115</f>
        <v>1.5</v>
      </c>
      <c r="E88" s="402" t="str">
        <f>'Consommation appareils'!G115</f>
        <v>h/jour</v>
      </c>
      <c r="F88" s="403">
        <f>'Consommation appareils'!J115</f>
        <v>7.7175</v>
      </c>
      <c r="G88" s="404">
        <f>'Consommation appareils'!K115</f>
        <v>0.91143675</v>
      </c>
      <c r="H88" s="404" t="str">
        <f>'Consommation appareils'!L115</f>
        <v>-</v>
      </c>
      <c r="I88" s="404">
        <f>'Consommation appareils'!M115</f>
        <v>1.012536</v>
      </c>
      <c r="J88" s="404" t="str">
        <f>'Consommation appareils'!N115</f>
        <v>-</v>
      </c>
      <c r="K88" s="406"/>
      <c r="L88" s="418"/>
    </row>
    <row r="89" spans="1:12" ht="27.75" customHeight="1">
      <c r="A89" s="508"/>
      <c r="B89" s="517"/>
      <c r="C89" s="412" t="s">
        <v>542</v>
      </c>
      <c r="D89" s="396"/>
      <c r="E89" s="408"/>
      <c r="F89" s="397">
        <f>'Consommation appareils'!J116</f>
        <v>12.285</v>
      </c>
      <c r="G89" s="398">
        <f>'Consommation appareils'!K116</f>
        <v>1.4508585</v>
      </c>
      <c r="H89" s="398" t="str">
        <f>'Consommation appareils'!L116</f>
        <v>-</v>
      </c>
      <c r="I89" s="398" t="str">
        <f>'Consommation appareils'!M116</f>
        <v>-</v>
      </c>
      <c r="J89" s="398">
        <f>'Consommation appareils'!N116</f>
        <v>1.4581066500000002</v>
      </c>
      <c r="K89" s="400"/>
      <c r="L89" s="395"/>
    </row>
    <row r="90" spans="1:12" ht="27.75" customHeight="1">
      <c r="A90" s="508"/>
      <c r="B90" s="162" t="s">
        <v>567</v>
      </c>
      <c r="C90" s="401"/>
      <c r="D90" s="402">
        <f>'Consommation appareils'!F117</f>
        <v>8</v>
      </c>
      <c r="E90" s="402" t="str">
        <f>'Consommation appareils'!G117</f>
        <v>h/jour</v>
      </c>
      <c r="F90" s="403">
        <f>'Consommation appareils'!J117</f>
        <v>27.44</v>
      </c>
      <c r="G90" s="404">
        <f>'Consommation appareils'!K117</f>
        <v>3.240664</v>
      </c>
      <c r="H90" s="404" t="str">
        <f>'Consommation appareils'!L117</f>
        <v>-</v>
      </c>
      <c r="I90" s="404" t="str">
        <f>'Consommation appareils'!M117</f>
        <v>-</v>
      </c>
      <c r="J90" s="404">
        <f>'Consommation appareils'!N117</f>
        <v>3.2568536000000003</v>
      </c>
      <c r="K90" s="406"/>
      <c r="L90" s="418"/>
    </row>
    <row r="91" spans="1:12" ht="27.75" customHeight="1">
      <c r="A91" s="508"/>
      <c r="B91" s="162" t="s">
        <v>568</v>
      </c>
      <c r="C91" s="395"/>
      <c r="D91" s="396"/>
      <c r="E91" s="408"/>
      <c r="F91" s="397">
        <f>'Consommation appareils'!J118</f>
        <v>13.14</v>
      </c>
      <c r="G91" s="398">
        <f>'Consommation appareils'!K118</f>
        <v>1.551834</v>
      </c>
      <c r="H91" s="398" t="str">
        <f>'Consommation appareils'!L118</f>
        <v>-</v>
      </c>
      <c r="I91" s="398" t="str">
        <f>'Consommation appareils'!M118</f>
        <v>-</v>
      </c>
      <c r="J91" s="398">
        <f>'Consommation appareils'!N118</f>
        <v>1.5595866</v>
      </c>
      <c r="K91" s="400"/>
      <c r="L91" s="395"/>
    </row>
    <row r="92" spans="1:12" ht="27.75" customHeight="1">
      <c r="A92" s="508"/>
      <c r="B92" s="144" t="s">
        <v>569</v>
      </c>
      <c r="C92" s="401"/>
      <c r="D92" s="402"/>
      <c r="E92" s="402"/>
      <c r="F92" s="403">
        <f>'Consommation appareils'!J119</f>
        <v>324.12</v>
      </c>
      <c r="G92" s="404">
        <f>'Consommation appareils'!K119</f>
        <v>38.278572</v>
      </c>
      <c r="H92" s="404" t="str">
        <f>'Consommation appareils'!L119</f>
        <v>-</v>
      </c>
      <c r="I92" s="404">
        <f>'Consommation appareils'!M119</f>
        <v>42.524544000000006</v>
      </c>
      <c r="J92" s="404" t="str">
        <f>'Consommation appareils'!N119</f>
        <v>-</v>
      </c>
      <c r="K92" s="405">
        <f>'Consommation appareils'!O119</f>
        <v>0.4</v>
      </c>
      <c r="L92" s="406">
        <f>'Consommation appareils'!P119</f>
        <v>1.3123356</v>
      </c>
    </row>
    <row r="93" spans="1:12" ht="27.75" customHeight="1">
      <c r="A93" s="508"/>
      <c r="B93" s="144" t="s">
        <v>572</v>
      </c>
      <c r="C93" s="395"/>
      <c r="D93" s="396"/>
      <c r="E93" s="396"/>
      <c r="F93" s="397">
        <f>'Consommation appareils'!J120</f>
        <v>501.1313333333333</v>
      </c>
      <c r="G93" s="398">
        <f>'Consommation appareils'!K120</f>
        <v>59.183610466666664</v>
      </c>
      <c r="H93" s="398" t="str">
        <f>'Consommation appareils'!L120</f>
        <v>-</v>
      </c>
      <c r="I93" s="398">
        <f>'Consommation appareils'!M120</f>
        <v>65.74843093333334</v>
      </c>
      <c r="J93" s="398" t="str">
        <f>'Consommation appareils'!N120</f>
        <v>-</v>
      </c>
      <c r="K93" s="399">
        <f>'Consommation appareils'!O120</f>
        <v>0.4</v>
      </c>
      <c r="L93" s="400">
        <f>'Consommation appareils'!P120</f>
        <v>1.3123356</v>
      </c>
    </row>
    <row r="94" spans="1:12" ht="27.75" customHeight="1">
      <c r="A94" s="508"/>
      <c r="B94" s="144" t="s">
        <v>574</v>
      </c>
      <c r="C94" s="418"/>
      <c r="D94" s="402"/>
      <c r="E94" s="402"/>
      <c r="F94" s="403">
        <f>'Consommation appareils'!J121</f>
        <v>350.4</v>
      </c>
      <c r="G94" s="404">
        <f>'Consommation appareils'!K121</f>
        <v>41.382239999999996</v>
      </c>
      <c r="H94" s="404" t="str">
        <f>'Consommation appareils'!L121</f>
        <v>-</v>
      </c>
      <c r="I94" s="404">
        <f>'Consommation appareils'!M121</f>
        <v>45.97248</v>
      </c>
      <c r="J94" s="404" t="str">
        <f>'Consommation appareils'!N121</f>
        <v>-</v>
      </c>
      <c r="K94" s="405">
        <f>'Consommation appareils'!O121</f>
        <v>0</v>
      </c>
      <c r="L94" s="406">
        <f>'Consommation appareils'!P121</f>
        <v>0</v>
      </c>
    </row>
    <row r="95" spans="1:12" ht="27.75" customHeight="1">
      <c r="A95" s="508"/>
      <c r="B95" s="144" t="s">
        <v>58</v>
      </c>
      <c r="C95" s="395"/>
      <c r="D95" s="396"/>
      <c r="E95" s="396"/>
      <c r="F95" s="397">
        <f>'Consommation appareils'!J122</f>
        <v>387.75</v>
      </c>
      <c r="G95" s="398">
        <f>'Consommation appareils'!K122</f>
        <v>45.793275</v>
      </c>
      <c r="H95" s="398" t="str">
        <f>'Consommation appareils'!L122</f>
        <v>-</v>
      </c>
      <c r="I95" s="398">
        <f>'Consommation appareils'!M122</f>
        <v>50.872800000000005</v>
      </c>
      <c r="J95" s="398" t="str">
        <f>'Consommation appareils'!N122</f>
        <v>-</v>
      </c>
      <c r="K95" s="399">
        <f>'Consommation appareils'!O122</f>
        <v>0</v>
      </c>
      <c r="L95" s="400">
        <f>'Consommation appareils'!P122</f>
        <v>0</v>
      </c>
    </row>
    <row r="96" spans="1:12" ht="27.75" customHeight="1">
      <c r="A96" s="508"/>
      <c r="B96" s="144" t="s">
        <v>59</v>
      </c>
      <c r="C96" s="418" t="s">
        <v>579</v>
      </c>
      <c r="D96" s="402"/>
      <c r="E96" s="402"/>
      <c r="F96" s="403">
        <f>'Consommation appareils'!J123</f>
        <v>4519.55</v>
      </c>
      <c r="G96" s="404">
        <f>'Consommation appareils'!K123</f>
        <v>533.758855</v>
      </c>
      <c r="H96" s="404" t="str">
        <f>'Consommation appareils'!L123</f>
        <v>-</v>
      </c>
      <c r="I96" s="404">
        <f>'Consommation appareils'!M123</f>
        <v>592.96496</v>
      </c>
      <c r="J96" s="404" t="str">
        <f>'Consommation appareils'!N123</f>
        <v>-</v>
      </c>
      <c r="K96" s="405">
        <f>'Consommation appareils'!O123</f>
        <v>0</v>
      </c>
      <c r="L96" s="406">
        <f>'Consommation appareils'!P123</f>
        <v>0</v>
      </c>
    </row>
    <row r="97" spans="1:12" ht="27.75" customHeight="1">
      <c r="A97" s="508"/>
      <c r="B97" s="144"/>
      <c r="C97" s="395" t="s">
        <v>60</v>
      </c>
      <c r="D97" s="396">
        <f>'Consommation appareils'!F124</f>
        <v>11</v>
      </c>
      <c r="E97" s="396" t="str">
        <f>'Consommation appareils'!G124</f>
        <v>h/jour</v>
      </c>
      <c r="F97" s="397">
        <f>'Consommation appareils'!J124</f>
        <v>2114.55</v>
      </c>
      <c r="G97" s="398">
        <f>'Consommation appareils'!K124</f>
        <v>249.72835500000002</v>
      </c>
      <c r="H97" s="398" t="str">
        <f>'Consommation appareils'!L124</f>
        <v>-</v>
      </c>
      <c r="I97" s="398">
        <f>'Consommation appareils'!M124</f>
        <v>277.4289600000001</v>
      </c>
      <c r="J97" s="398" t="str">
        <f>'Consommation appareils'!N124</f>
        <v>-</v>
      </c>
      <c r="K97" s="399">
        <f>'Consommation appareils'!O124</f>
        <v>0</v>
      </c>
      <c r="L97" s="400">
        <f>'Consommation appareils'!P124</f>
        <v>0</v>
      </c>
    </row>
    <row r="98" spans="1:12" ht="27.75" customHeight="1">
      <c r="A98" s="508" t="s">
        <v>702</v>
      </c>
      <c r="B98" s="514" t="s">
        <v>583</v>
      </c>
      <c r="C98" s="418"/>
      <c r="D98" s="419">
        <f>'Consommation appareils'!F125</f>
        <v>5</v>
      </c>
      <c r="E98" s="419" t="str">
        <f>'Consommation appareils'!G125</f>
        <v>min/j/pers</v>
      </c>
      <c r="F98" s="420">
        <f>'Consommation appareils'!J125</f>
        <v>1139.0267777777779</v>
      </c>
      <c r="G98" s="404">
        <f>'Consommation appareils'!K125</f>
        <v>134.51906245555557</v>
      </c>
      <c r="H98" s="404">
        <f>'Consommation appareils'!L125</f>
        <v>101.94289661111111</v>
      </c>
      <c r="I98" s="404" t="str">
        <f>'Consommation appareils'!M125</f>
        <v>-</v>
      </c>
      <c r="J98" s="404" t="str">
        <f>'Consommation appareils'!N125</f>
        <v>-</v>
      </c>
      <c r="K98" s="405">
        <f>'Consommation appareils'!O125</f>
        <v>34.3</v>
      </c>
      <c r="L98" s="406">
        <f>'Consommation appareils'!P125</f>
        <v>112.53277769999998</v>
      </c>
    </row>
    <row r="99" spans="1:12" ht="27.75" customHeight="1">
      <c r="A99" s="508"/>
      <c r="B99" s="514"/>
      <c r="C99" s="421" t="s">
        <v>586</v>
      </c>
      <c r="D99" s="396"/>
      <c r="E99" s="408"/>
      <c r="F99" s="397">
        <f>'Consommation appareils'!J126</f>
        <v>683.4160666666667</v>
      </c>
      <c r="G99" s="398">
        <f>'Consommation appareils'!K126</f>
        <v>80.71143747333333</v>
      </c>
      <c r="H99" s="398">
        <f>'Consommation appareils'!L126</f>
        <v>61.16573796666666</v>
      </c>
      <c r="I99" s="398" t="str">
        <f>'Consommation appareils'!M126</f>
        <v>-</v>
      </c>
      <c r="J99" s="398" t="str">
        <f>'Consommation appareils'!N126</f>
        <v>-</v>
      </c>
      <c r="K99" s="399">
        <f>'Consommation appareils'!O126</f>
        <v>20.58</v>
      </c>
      <c r="L99" s="400">
        <f>'Consommation appareils'!P126</f>
        <v>67.51966662</v>
      </c>
    </row>
    <row r="100" spans="1:12" ht="27.75" customHeight="1">
      <c r="A100" s="508"/>
      <c r="B100" s="514" t="s">
        <v>587</v>
      </c>
      <c r="C100" s="418"/>
      <c r="D100" s="419">
        <f>'Consommation appareils'!F127</f>
        <v>5</v>
      </c>
      <c r="E100" s="419" t="str">
        <f>'Consommation appareils'!G127</f>
        <v>min/j/pers</v>
      </c>
      <c r="F100" s="420">
        <f>'Consommation appareils'!J127</f>
        <v>1139.0267777777779</v>
      </c>
      <c r="G100" s="404">
        <f>'Consommation appareils'!K127</f>
        <v>134.51906245555557</v>
      </c>
      <c r="H100" s="404">
        <f>'Consommation appareils'!L127</f>
        <v>101.94289661111111</v>
      </c>
      <c r="I100" s="404" t="str">
        <f>'Consommation appareils'!M127</f>
        <v>-</v>
      </c>
      <c r="J100" s="404" t="str">
        <f>'Consommation appareils'!N127</f>
        <v>-</v>
      </c>
      <c r="K100" s="405">
        <f>'Consommation appareils'!O127</f>
        <v>34.3</v>
      </c>
      <c r="L100" s="406">
        <f>'Consommation appareils'!P127</f>
        <v>112.53277769999998</v>
      </c>
    </row>
    <row r="101" spans="1:12" ht="27.75" customHeight="1">
      <c r="A101" s="508"/>
      <c r="B101" s="514"/>
      <c r="C101" s="421" t="s">
        <v>586</v>
      </c>
      <c r="D101" s="396"/>
      <c r="E101" s="408"/>
      <c r="F101" s="397">
        <f>'Consommation appareils'!J128</f>
        <v>683.4160666666667</v>
      </c>
      <c r="G101" s="398">
        <f>'Consommation appareils'!K128</f>
        <v>80.71143747333333</v>
      </c>
      <c r="H101" s="398">
        <f>'Consommation appareils'!L128</f>
        <v>61.16573796666666</v>
      </c>
      <c r="I101" s="398" t="str">
        <f>'Consommation appareils'!M128</f>
        <v>-</v>
      </c>
      <c r="J101" s="398" t="str">
        <f>'Consommation appareils'!N128</f>
        <v>-</v>
      </c>
      <c r="K101" s="399">
        <f>'Consommation appareils'!O128</f>
        <v>0</v>
      </c>
      <c r="L101" s="400">
        <f>'Consommation appareils'!P128</f>
        <v>0</v>
      </c>
    </row>
    <row r="102" spans="1:12" ht="27.75" customHeight="1">
      <c r="A102" s="508"/>
      <c r="B102" s="514" t="s">
        <v>588</v>
      </c>
      <c r="C102" s="418"/>
      <c r="D102" s="419">
        <f>'Consommation appareils'!F129</f>
        <v>15</v>
      </c>
      <c r="E102" s="419" t="str">
        <f>'Consommation appareils'!G129</f>
        <v>min/j/pers</v>
      </c>
      <c r="F102" s="420">
        <f>'Consommation appareils'!J129</f>
        <v>0</v>
      </c>
      <c r="G102" s="404">
        <f>'Consommation appareils'!K129</f>
        <v>0</v>
      </c>
      <c r="H102" s="404">
        <f>'Consommation appareils'!L129</f>
        <v>0</v>
      </c>
      <c r="I102" s="404" t="str">
        <f>'Consommation appareils'!M129</f>
        <v>-</v>
      </c>
      <c r="J102" s="404" t="str">
        <f>'Consommation appareils'!N129</f>
        <v>-</v>
      </c>
      <c r="K102" s="405">
        <f>'Consommation appareils'!O129</f>
        <v>0</v>
      </c>
      <c r="L102" s="406">
        <f>'Consommation appareils'!P129</f>
        <v>0</v>
      </c>
    </row>
    <row r="103" spans="1:12" ht="27.75" customHeight="1">
      <c r="A103" s="508"/>
      <c r="B103" s="514"/>
      <c r="C103" s="421" t="s">
        <v>586</v>
      </c>
      <c r="D103" s="396"/>
      <c r="E103" s="408"/>
      <c r="F103" s="397">
        <f>'Consommation appareils'!J130</f>
        <v>0</v>
      </c>
      <c r="G103" s="398">
        <f>'Consommation appareils'!K130</f>
        <v>0</v>
      </c>
      <c r="H103" s="398">
        <f>'Consommation appareils'!L130</f>
        <v>0</v>
      </c>
      <c r="I103" s="398" t="str">
        <f>'Consommation appareils'!M130</f>
        <v>-</v>
      </c>
      <c r="J103" s="398" t="str">
        <f>'Consommation appareils'!N130</f>
        <v>-</v>
      </c>
      <c r="K103" s="399">
        <f>'Consommation appareils'!O130</f>
        <v>0</v>
      </c>
      <c r="L103" s="400">
        <f>'Consommation appareils'!P130</f>
        <v>0</v>
      </c>
    </row>
    <row r="104" spans="1:12" ht="27.75" customHeight="1">
      <c r="A104" s="508"/>
      <c r="B104" s="144" t="s">
        <v>589</v>
      </c>
      <c r="C104" s="418"/>
      <c r="D104" s="419">
        <f>'Consommation appareils'!F131</f>
        <v>60</v>
      </c>
      <c r="E104" s="419" t="str">
        <f>'Consommation appareils'!G131</f>
        <v>l/jour</v>
      </c>
      <c r="F104" s="420">
        <f>'Consommation appareils'!J131</f>
        <v>0</v>
      </c>
      <c r="G104" s="404">
        <f>'Consommation appareils'!K131</f>
        <v>0</v>
      </c>
      <c r="H104" s="404">
        <f>'Consommation appareils'!L131</f>
        <v>0</v>
      </c>
      <c r="I104" s="404" t="str">
        <f>'Consommation appareils'!M131</f>
        <v>-</v>
      </c>
      <c r="J104" s="404" t="str">
        <f>'Consommation appareils'!N131</f>
        <v>-</v>
      </c>
      <c r="K104" s="405">
        <f>'Consommation appareils'!O131</f>
        <v>0</v>
      </c>
      <c r="L104" s="406">
        <f>'Consommation appareils'!P131</f>
        <v>0</v>
      </c>
    </row>
    <row r="105" spans="1:12" ht="27.75" customHeight="1">
      <c r="A105" s="508"/>
      <c r="B105" s="514" t="s">
        <v>591</v>
      </c>
      <c r="C105" s="395"/>
      <c r="D105" s="396">
        <f>'Consommation appareils'!F132</f>
        <v>3</v>
      </c>
      <c r="E105" s="396" t="str">
        <f>'Consommation appareils'!G132</f>
        <v>chasses/pers/j</v>
      </c>
      <c r="F105" s="397"/>
      <c r="G105" s="398"/>
      <c r="H105" s="398"/>
      <c r="I105" s="398"/>
      <c r="J105" s="398"/>
      <c r="K105" s="399">
        <f>'Consommation appareils'!O132</f>
        <v>32.928</v>
      </c>
      <c r="L105" s="400">
        <f>'Consommation appareils'!P132</f>
        <v>108.03146659199999</v>
      </c>
    </row>
    <row r="106" spans="1:12" ht="27.75" customHeight="1">
      <c r="A106" s="508"/>
      <c r="B106" s="514"/>
      <c r="C106" s="422" t="s">
        <v>593</v>
      </c>
      <c r="D106" s="419"/>
      <c r="E106" s="423"/>
      <c r="F106" s="420"/>
      <c r="G106" s="404"/>
      <c r="H106" s="404"/>
      <c r="I106" s="404"/>
      <c r="J106" s="404"/>
      <c r="K106" s="405">
        <f>'Consommation appareils'!O133</f>
        <v>16.464</v>
      </c>
      <c r="L106" s="406">
        <f>'Consommation appareils'!P133</f>
        <v>54.01573329599999</v>
      </c>
    </row>
    <row r="107" spans="1:12" ht="27.75" customHeight="1">
      <c r="A107" s="508"/>
      <c r="B107" s="147" t="s">
        <v>712</v>
      </c>
      <c r="C107" s="395"/>
      <c r="D107" s="396">
        <f>'Consommation appareils'!F134</f>
        <v>15</v>
      </c>
      <c r="E107" s="396" t="str">
        <f>'Consommation appareils'!G134</f>
        <v>l/sem</v>
      </c>
      <c r="F107" s="397">
        <f>'Consommation appareils'!J134</f>
        <v>26.285233333333338</v>
      </c>
      <c r="G107" s="398">
        <f>'Consommation appareils'!K134</f>
        <v>3.104286056666667</v>
      </c>
      <c r="H107" s="398">
        <f>'Consommation appareils'!L134</f>
        <v>2.3525283833333335</v>
      </c>
      <c r="I107" s="398" t="str">
        <f>'Consommation appareils'!M134</f>
        <v>-</v>
      </c>
      <c r="J107" s="398" t="str">
        <f>'Consommation appareils'!N134</f>
        <v>-</v>
      </c>
      <c r="K107" s="399">
        <f>'Consommation appareils'!O134</f>
        <v>0.735</v>
      </c>
      <c r="L107" s="400">
        <f>'Consommation appareils'!P134</f>
        <v>2.411416665</v>
      </c>
    </row>
    <row r="108" spans="1:12" ht="27.75" customHeight="1">
      <c r="A108" s="508"/>
      <c r="B108" s="147" t="s">
        <v>595</v>
      </c>
      <c r="C108" s="418"/>
      <c r="D108" s="419">
        <f>'Consommation appareils'!F135</f>
        <v>15</v>
      </c>
      <c r="E108" s="419" t="str">
        <f>'Consommation appareils'!G135</f>
        <v>l/jour</v>
      </c>
      <c r="F108" s="420"/>
      <c r="G108" s="404"/>
      <c r="H108" s="404"/>
      <c r="I108" s="404"/>
      <c r="J108" s="404"/>
      <c r="K108" s="405">
        <f>'Consommation appareils'!O135</f>
        <v>5.145</v>
      </c>
      <c r="L108" s="406">
        <f>'Consommation appareils'!P135</f>
        <v>16.879916655</v>
      </c>
    </row>
    <row r="109" spans="1:12" ht="27.75" customHeight="1">
      <c r="A109" s="508"/>
      <c r="B109" s="147" t="s">
        <v>468</v>
      </c>
      <c r="C109" s="395" t="s">
        <v>469</v>
      </c>
      <c r="D109" s="396">
        <f>'Consommation appareils'!F136</f>
        <v>50</v>
      </c>
      <c r="E109" s="396" t="str">
        <f>'Consommation appareils'!G136</f>
        <v>l/jour</v>
      </c>
      <c r="F109" s="397">
        <f>'Consommation appareils'!J136</f>
        <v>613.3221111111112</v>
      </c>
      <c r="G109" s="398">
        <f>'Consommation appareils'!K136</f>
        <v>72.43334132222223</v>
      </c>
      <c r="H109" s="398">
        <f>'Consommation appareils'!L136</f>
        <v>54.89232894444445</v>
      </c>
      <c r="I109" s="398" t="str">
        <f>'Consommation appareils'!M136</f>
        <v>-</v>
      </c>
      <c r="J109" s="398" t="str">
        <f>'Consommation appareils'!N136</f>
        <v>-</v>
      </c>
      <c r="K109" s="399">
        <f>'Consommation appareils'!O136</f>
        <v>17.15</v>
      </c>
      <c r="L109" s="400">
        <f>'Consommation appareils'!P136</f>
        <v>56.26638884999999</v>
      </c>
    </row>
    <row r="110" spans="1:12" ht="27.75" customHeight="1">
      <c r="A110" s="508"/>
      <c r="B110" s="147"/>
      <c r="C110" s="418" t="s">
        <v>471</v>
      </c>
      <c r="D110" s="419">
        <f>'Consommation appareils'!F137</f>
        <v>15</v>
      </c>
      <c r="E110" s="419" t="str">
        <f>'Consommation appareils'!G137</f>
        <v>l/jour</v>
      </c>
      <c r="F110" s="420">
        <f>'Consommation appareils'!J137</f>
        <v>183.99663333333336</v>
      </c>
      <c r="G110" s="404">
        <f>'Consommation appareils'!K137</f>
        <v>21.73000239666667</v>
      </c>
      <c r="H110" s="404">
        <f>'Consommation appareils'!L137</f>
        <v>16.467698683333335</v>
      </c>
      <c r="I110" s="404" t="str">
        <f>'Consommation appareils'!M137</f>
        <v>-</v>
      </c>
      <c r="J110" s="404" t="str">
        <f>'Consommation appareils'!N137</f>
        <v>-</v>
      </c>
      <c r="K110" s="405">
        <f>'Consommation appareils'!O137</f>
        <v>5.145</v>
      </c>
      <c r="L110" s="406">
        <f>'Consommation appareils'!P137</f>
        <v>16.879916655</v>
      </c>
    </row>
    <row r="111" spans="1:12" ht="27.75" customHeight="1">
      <c r="A111" s="508"/>
      <c r="B111" s="147"/>
      <c r="C111" s="395" t="s">
        <v>473</v>
      </c>
      <c r="D111" s="396">
        <f>'Consommation appareils'!F138</f>
        <v>5</v>
      </c>
      <c r="E111" s="396" t="str">
        <f>'Consommation appareils'!G138</f>
        <v>l/jour</v>
      </c>
      <c r="F111" s="397">
        <f>'Consommation appareils'!J138</f>
        <v>61.33221111111113</v>
      </c>
      <c r="G111" s="398">
        <f>'Consommation appareils'!K138</f>
        <v>7.243334132222224</v>
      </c>
      <c r="H111" s="398">
        <f>'Consommation appareils'!L138</f>
        <v>5.489232894444446</v>
      </c>
      <c r="I111" s="398" t="str">
        <f>'Consommation appareils'!M138</f>
        <v>-</v>
      </c>
      <c r="J111" s="398" t="str">
        <f>'Consommation appareils'!N138</f>
        <v>-</v>
      </c>
      <c r="K111" s="399">
        <f>'Consommation appareils'!O138</f>
        <v>1.715</v>
      </c>
      <c r="L111" s="400">
        <f>'Consommation appareils'!P138</f>
        <v>5.626638885</v>
      </c>
    </row>
    <row r="112" spans="1:12" ht="27.75" customHeight="1">
      <c r="A112" s="508"/>
      <c r="B112" s="147" t="s">
        <v>714</v>
      </c>
      <c r="C112" s="418"/>
      <c r="D112" s="419">
        <f>'Consommation appareils'!F139</f>
        <v>12</v>
      </c>
      <c r="E112" s="419" t="str">
        <f>'Consommation appareils'!G139</f>
        <v>l/jour</v>
      </c>
      <c r="F112" s="420"/>
      <c r="G112" s="404"/>
      <c r="H112" s="404"/>
      <c r="I112" s="404"/>
      <c r="J112" s="404"/>
      <c r="K112" s="405">
        <f>'Consommation appareils'!O139</f>
        <v>4.116</v>
      </c>
      <c r="L112" s="406">
        <f>'Consommation appareils'!P139</f>
        <v>13.503933323999998</v>
      </c>
    </row>
    <row r="113" spans="1:12" ht="27.75" customHeight="1">
      <c r="A113" s="508" t="s">
        <v>474</v>
      </c>
      <c r="B113" s="514" t="s">
        <v>475</v>
      </c>
      <c r="C113" s="395" t="s">
        <v>476</v>
      </c>
      <c r="D113" s="396"/>
      <c r="E113" s="408"/>
      <c r="F113" s="397">
        <f>'Consommation appareils'!J140</f>
        <v>306.6</v>
      </c>
      <c r="G113" s="398">
        <f>'Consommation appareils'!K140</f>
        <v>36.20946</v>
      </c>
      <c r="H113" s="398" t="str">
        <f>'Consommation appareils'!L140</f>
        <v>-</v>
      </c>
      <c r="I113" s="398" t="str">
        <f>'Consommation appareils'!M140</f>
        <v>-</v>
      </c>
      <c r="J113" s="398">
        <f>'Consommation appareils'!N140</f>
        <v>36.39035400000001</v>
      </c>
      <c r="K113" s="400"/>
      <c r="L113" s="400"/>
    </row>
    <row r="114" spans="1:12" ht="27.75" customHeight="1">
      <c r="A114" s="508"/>
      <c r="B114" s="514"/>
      <c r="C114" s="418" t="s">
        <v>478</v>
      </c>
      <c r="D114" s="419"/>
      <c r="E114" s="423"/>
      <c r="F114" s="420">
        <f>'Consommation appareils'!J141</f>
        <v>214.62</v>
      </c>
      <c r="G114" s="404">
        <f>'Consommation appareils'!K141</f>
        <v>25.346622</v>
      </c>
      <c r="H114" s="404" t="str">
        <f>'Consommation appareils'!L141</f>
        <v>-</v>
      </c>
      <c r="I114" s="404" t="str">
        <f>'Consommation appareils'!M141</f>
        <v>-</v>
      </c>
      <c r="J114" s="404">
        <f>'Consommation appareils'!N141</f>
        <v>25.473247800000003</v>
      </c>
      <c r="K114" s="406"/>
      <c r="L114" s="406"/>
    </row>
    <row r="115" spans="1:12" ht="27.75" customHeight="1">
      <c r="A115" s="508"/>
      <c r="B115" s="514"/>
      <c r="C115" s="395" t="s">
        <v>480</v>
      </c>
      <c r="D115" s="396"/>
      <c r="E115" s="408"/>
      <c r="F115" s="397">
        <f>'Consommation appareils'!J142</f>
        <v>105.12</v>
      </c>
      <c r="G115" s="398">
        <f>'Consommation appareils'!K142</f>
        <v>12.414672</v>
      </c>
      <c r="H115" s="398" t="str">
        <f>'Consommation appareils'!L142</f>
        <v>-</v>
      </c>
      <c r="I115" s="398" t="str">
        <f>'Consommation appareils'!M142</f>
        <v>-</v>
      </c>
      <c r="J115" s="398">
        <f>'Consommation appareils'!N142</f>
        <v>12.4766928</v>
      </c>
      <c r="K115" s="400"/>
      <c r="L115" s="400"/>
    </row>
    <row r="116" spans="1:12" ht="27.75" customHeight="1">
      <c r="A116" s="508"/>
      <c r="B116" s="514" t="s">
        <v>482</v>
      </c>
      <c r="C116" s="418" t="s">
        <v>483</v>
      </c>
      <c r="D116" s="419"/>
      <c r="E116" s="423"/>
      <c r="F116" s="420">
        <f>'Consommation appareils'!J143</f>
        <v>237.6</v>
      </c>
      <c r="G116" s="404">
        <f>'Consommation appareils'!K143</f>
        <v>28.06056</v>
      </c>
      <c r="H116" s="404" t="str">
        <f>'Consommation appareils'!L143</f>
        <v>-</v>
      </c>
      <c r="I116" s="404" t="str">
        <f>'Consommation appareils'!M143</f>
        <v>-</v>
      </c>
      <c r="J116" s="404">
        <f>'Consommation appareils'!N143</f>
        <v>28.200744</v>
      </c>
      <c r="K116" s="406"/>
      <c r="L116" s="406"/>
    </row>
    <row r="117" spans="1:12" ht="27.75" customHeight="1">
      <c r="A117" s="508"/>
      <c r="B117" s="514"/>
      <c r="C117" s="395" t="s">
        <v>485</v>
      </c>
      <c r="D117" s="396">
        <f>'Consommation appareils'!F144</f>
        <v>15</v>
      </c>
      <c r="E117" s="396" t="str">
        <f>'Consommation appareils'!G144</f>
        <v>% du temps</v>
      </c>
      <c r="F117" s="397">
        <f>'Consommation appareils'!J144</f>
        <v>35.64</v>
      </c>
      <c r="G117" s="398">
        <f>'Consommation appareils'!K144</f>
        <v>4.209084</v>
      </c>
      <c r="H117" s="398" t="str">
        <f>'Consommation appareils'!L144</f>
        <v>-</v>
      </c>
      <c r="I117" s="398" t="str">
        <f>'Consommation appareils'!M144</f>
        <v>-</v>
      </c>
      <c r="J117" s="398">
        <f>'Consommation appareils'!N144</f>
        <v>4.230111600000001</v>
      </c>
      <c r="K117" s="400"/>
      <c r="L117" s="400"/>
    </row>
    <row r="118" spans="1:12" ht="27.75" customHeight="1">
      <c r="A118" s="508"/>
      <c r="B118" s="514"/>
      <c r="C118" s="418" t="s">
        <v>487</v>
      </c>
      <c r="D118" s="419">
        <f>'Consommation appareils'!F145</f>
        <v>15</v>
      </c>
      <c r="E118" s="419" t="str">
        <f>'Consommation appareils'!G145</f>
        <v>% du temps</v>
      </c>
      <c r="F118" s="420">
        <f>'Consommation appareils'!J145</f>
        <v>9.72</v>
      </c>
      <c r="G118" s="404">
        <f>'Consommation appareils'!K145</f>
        <v>1.147932</v>
      </c>
      <c r="H118" s="404" t="str">
        <f>'Consommation appareils'!L145</f>
        <v>-</v>
      </c>
      <c r="I118" s="404" t="str">
        <f>'Consommation appareils'!M145</f>
        <v>-</v>
      </c>
      <c r="J118" s="404">
        <f>'Consommation appareils'!N145</f>
        <v>1.1536668</v>
      </c>
      <c r="K118" s="406"/>
      <c r="L118" s="406"/>
    </row>
  </sheetData>
  <sheetProtection selectLockedCells="1" selectUnlockedCells="1"/>
  <mergeCells count="46">
    <mergeCell ref="A113:A118"/>
    <mergeCell ref="B113:B115"/>
    <mergeCell ref="B116:B118"/>
    <mergeCell ref="A88:A97"/>
    <mergeCell ref="B88:B89"/>
    <mergeCell ref="A98:A112"/>
    <mergeCell ref="B98:B99"/>
    <mergeCell ref="B100:B101"/>
    <mergeCell ref="B102:B103"/>
    <mergeCell ref="B105:B106"/>
    <mergeCell ref="A71:A87"/>
    <mergeCell ref="B71:B72"/>
    <mergeCell ref="B73:B74"/>
    <mergeCell ref="B75:B77"/>
    <mergeCell ref="B78:B79"/>
    <mergeCell ref="B81:B83"/>
    <mergeCell ref="B84:B85"/>
    <mergeCell ref="A42:A49"/>
    <mergeCell ref="A50:A70"/>
    <mergeCell ref="B50:B60"/>
    <mergeCell ref="B61:B62"/>
    <mergeCell ref="B63:B64"/>
    <mergeCell ref="B65:B66"/>
    <mergeCell ref="B67:B68"/>
    <mergeCell ref="B69:B70"/>
    <mergeCell ref="A28:A35"/>
    <mergeCell ref="B28:B29"/>
    <mergeCell ref="B33:B35"/>
    <mergeCell ref="A36:A41"/>
    <mergeCell ref="A18:A27"/>
    <mergeCell ref="B18:B20"/>
    <mergeCell ref="B21:B23"/>
    <mergeCell ref="B24:B27"/>
    <mergeCell ref="D8:E8"/>
    <mergeCell ref="A9:A17"/>
    <mergeCell ref="B9:B11"/>
    <mergeCell ref="B12:B14"/>
    <mergeCell ref="B15:B17"/>
    <mergeCell ref="B5:C5"/>
    <mergeCell ref="B6:C6"/>
    <mergeCell ref="G7:J7"/>
    <mergeCell ref="K7:L7"/>
    <mergeCell ref="B1:C1"/>
    <mergeCell ref="B2:C2"/>
    <mergeCell ref="B3:C3"/>
    <mergeCell ref="B4:C4"/>
  </mergeCells>
  <printOptions/>
  <pageMargins left="0.4722222222222222" right="0.3541666666666667" top="0.27569444444444446" bottom="0.2361111111111111" header="0.5118055555555555" footer="0.5118055555555555"/>
  <pageSetup horizontalDpi="300" verticalDpi="300" orientation="portrait" paperSize="9" scale="52"/>
  <drawing r:id="rId1"/>
</worksheet>
</file>

<file path=xl/worksheets/sheet8.xml><?xml version="1.0" encoding="utf-8"?>
<worksheet xmlns="http://schemas.openxmlformats.org/spreadsheetml/2006/main" xmlns:r="http://schemas.openxmlformats.org/officeDocument/2006/relationships">
  <sheetPr codeName="Feuil4"/>
  <dimension ref="A1:N70"/>
  <sheetViews>
    <sheetView showGridLines="0" workbookViewId="0" topLeftCell="A1">
      <selection activeCell="B13" sqref="B13"/>
    </sheetView>
  </sheetViews>
  <sheetFormatPr defaultColWidth="11.421875" defaultRowHeight="15"/>
  <cols>
    <col min="1" max="1" width="67.421875" style="0" customWidth="1"/>
    <col min="2" max="2" width="19.140625" style="0" customWidth="1"/>
    <col min="3" max="3" width="21.421875" style="0" customWidth="1"/>
    <col min="4" max="4" width="21.00390625" style="0" customWidth="1"/>
    <col min="5" max="5" width="10.28125" style="0" customWidth="1"/>
    <col min="6" max="8" width="11.421875" style="0" customWidth="1"/>
    <col min="9" max="9" width="13.00390625" style="0" customWidth="1"/>
    <col min="10" max="10" width="25.7109375" style="177" customWidth="1"/>
    <col min="12" max="14" width="0" style="0" hidden="1" customWidth="1"/>
  </cols>
  <sheetData>
    <row r="1" spans="1:14" ht="15">
      <c r="A1" s="179" t="s">
        <v>61</v>
      </c>
      <c r="B1" s="15"/>
      <c r="J1" s="424" t="s">
        <v>62</v>
      </c>
      <c r="L1" s="425" t="s">
        <v>63</v>
      </c>
      <c r="N1" t="s">
        <v>411</v>
      </c>
    </row>
    <row r="2" spans="1:14" ht="15">
      <c r="A2" s="15" t="s">
        <v>64</v>
      </c>
      <c r="B2" s="15">
        <v>0.0298</v>
      </c>
      <c r="J2" s="177" t="s">
        <v>65</v>
      </c>
      <c r="L2" s="425" t="s">
        <v>66</v>
      </c>
      <c r="N2" s="18" t="s">
        <v>412</v>
      </c>
    </row>
    <row r="3" spans="1:14" ht="15">
      <c r="A3" s="186" t="s">
        <v>67</v>
      </c>
      <c r="B3" s="15">
        <v>0.1832</v>
      </c>
      <c r="J3" s="177" t="s">
        <v>65</v>
      </c>
      <c r="L3" s="425" t="s">
        <v>68</v>
      </c>
      <c r="N3" s="190"/>
    </row>
    <row r="4" spans="1:14" ht="15">
      <c r="A4" s="186" t="s">
        <v>69</v>
      </c>
      <c r="B4" s="15">
        <v>0.1351</v>
      </c>
      <c r="J4" s="177" t="s">
        <v>65</v>
      </c>
      <c r="L4" s="425" t="s">
        <v>70</v>
      </c>
      <c r="N4" s="190"/>
    </row>
    <row r="5" spans="1:14" ht="15">
      <c r="A5" s="15" t="s">
        <v>71</v>
      </c>
      <c r="B5" s="15">
        <v>0.0895</v>
      </c>
      <c r="J5" s="177" t="s">
        <v>65</v>
      </c>
      <c r="L5" s="425" t="s">
        <v>64</v>
      </c>
      <c r="N5" s="8"/>
    </row>
    <row r="6" spans="1:14" ht="15">
      <c r="A6" s="15" t="s">
        <v>72</v>
      </c>
      <c r="B6" s="15">
        <v>0.1312</v>
      </c>
      <c r="J6" s="177" t="s">
        <v>65</v>
      </c>
      <c r="L6" s="425" t="s">
        <v>69</v>
      </c>
      <c r="N6" s="8"/>
    </row>
    <row r="7" spans="1:14" ht="15">
      <c r="A7" s="15" t="s">
        <v>73</v>
      </c>
      <c r="B7" s="15">
        <v>0.1181</v>
      </c>
      <c r="J7" s="177" t="s">
        <v>65</v>
      </c>
      <c r="L7" s="425" t="s">
        <v>67</v>
      </c>
      <c r="N7" s="8"/>
    </row>
    <row r="8" spans="1:14" ht="15">
      <c r="A8" s="15" t="s">
        <v>63</v>
      </c>
      <c r="B8" s="15">
        <v>0.1029</v>
      </c>
      <c r="J8" s="177" t="s">
        <v>65</v>
      </c>
      <c r="L8" s="425"/>
      <c r="N8" s="8"/>
    </row>
    <row r="9" spans="1:14" ht="15">
      <c r="A9" s="15" t="s">
        <v>66</v>
      </c>
      <c r="B9" s="15">
        <v>0.0609</v>
      </c>
      <c r="J9" s="177" t="s">
        <v>65</v>
      </c>
      <c r="L9" s="425"/>
      <c r="N9" s="8"/>
    </row>
    <row r="10" spans="1:10" ht="15">
      <c r="A10" s="15" t="s">
        <v>68</v>
      </c>
      <c r="B10" s="15">
        <v>0.15</v>
      </c>
      <c r="I10" s="8"/>
      <c r="J10" s="177" t="s">
        <v>74</v>
      </c>
    </row>
    <row r="11" spans="1:9" ht="15">
      <c r="A11" s="18"/>
      <c r="B11" s="18"/>
      <c r="I11" s="8"/>
    </row>
    <row r="12" spans="1:9" ht="15">
      <c r="A12" s="426" t="s">
        <v>75</v>
      </c>
      <c r="B12" s="18"/>
      <c r="I12" s="8"/>
    </row>
    <row r="13" spans="1:10" ht="15">
      <c r="A13" s="13" t="s">
        <v>76</v>
      </c>
      <c r="B13" s="427">
        <v>3.280839</v>
      </c>
      <c r="I13" s="8"/>
      <c r="J13" s="177" t="s">
        <v>77</v>
      </c>
    </row>
    <row r="14" spans="1:9" ht="15">
      <c r="A14" s="72"/>
      <c r="B14" s="72"/>
      <c r="I14" s="8"/>
    </row>
    <row r="15" spans="1:9" ht="15">
      <c r="A15" s="72"/>
      <c r="B15" s="72"/>
      <c r="I15" s="8"/>
    </row>
    <row r="16" spans="1:9" ht="15">
      <c r="A16" s="72"/>
      <c r="B16" s="72"/>
      <c r="I16" s="8"/>
    </row>
    <row r="17" spans="1:9" ht="15">
      <c r="A17" s="179"/>
      <c r="B17" s="179" t="s">
        <v>412</v>
      </c>
      <c r="C17" s="179" t="s">
        <v>411</v>
      </c>
      <c r="I17" s="8"/>
    </row>
    <row r="18" spans="1:9" ht="15">
      <c r="A18" s="179" t="s">
        <v>777</v>
      </c>
      <c r="B18" s="179" t="s">
        <v>78</v>
      </c>
      <c r="C18" s="179" t="s">
        <v>78</v>
      </c>
      <c r="I18" s="8"/>
    </row>
    <row r="19" spans="1:10" ht="15">
      <c r="A19" s="15" t="s">
        <v>79</v>
      </c>
      <c r="B19" s="15">
        <v>300</v>
      </c>
      <c r="C19" s="15">
        <v>200</v>
      </c>
      <c r="I19" s="8"/>
      <c r="J19" s="177" t="s">
        <v>80</v>
      </c>
    </row>
    <row r="20" spans="1:9" ht="15">
      <c r="A20" s="15" t="s">
        <v>81</v>
      </c>
      <c r="B20" s="15">
        <v>220</v>
      </c>
      <c r="C20" s="15">
        <v>140</v>
      </c>
      <c r="I20" s="8"/>
    </row>
    <row r="21" spans="1:9" ht="15">
      <c r="A21" s="15" t="s">
        <v>82</v>
      </c>
      <c r="B21" s="15">
        <v>120</v>
      </c>
      <c r="C21" s="15">
        <v>100</v>
      </c>
      <c r="I21" s="8"/>
    </row>
    <row r="22" spans="1:9" ht="15">
      <c r="A22" s="15" t="s">
        <v>83</v>
      </c>
      <c r="B22" s="15">
        <v>200</v>
      </c>
      <c r="C22" s="15"/>
      <c r="I22" s="8"/>
    </row>
    <row r="23" spans="1:9" ht="15">
      <c r="A23" s="18"/>
      <c r="B23" s="18"/>
      <c r="I23" s="8"/>
    </row>
    <row r="24" ht="15">
      <c r="I24" s="8"/>
    </row>
    <row r="25" spans="1:4" ht="15">
      <c r="A25" s="428" t="s">
        <v>84</v>
      </c>
      <c r="B25" s="429" t="s">
        <v>85</v>
      </c>
      <c r="C25" s="429"/>
      <c r="D25" s="429"/>
    </row>
    <row r="26" spans="1:3" ht="15">
      <c r="A26" t="s">
        <v>86</v>
      </c>
      <c r="B26" s="430">
        <f>SUM(B27:B31)</f>
        <v>132.0354</v>
      </c>
      <c r="C26" t="s">
        <v>87</v>
      </c>
    </row>
    <row r="27" spans="1:10" ht="15">
      <c r="A27" t="s">
        <v>88</v>
      </c>
      <c r="B27" s="431">
        <f>'Consommation appareils'!O132</f>
        <v>32.928</v>
      </c>
      <c r="C27" t="s">
        <v>87</v>
      </c>
      <c r="J27" s="177" t="s">
        <v>89</v>
      </c>
    </row>
    <row r="28" spans="1:10" ht="15">
      <c r="A28" t="s">
        <v>90</v>
      </c>
      <c r="B28" s="431">
        <f>('Consommation appareils'!O125+'Consommation appareils'!O127+'Consommation appareils'!O129+'Consommation appareils'!O131)</f>
        <v>68.6</v>
      </c>
      <c r="C28" t="s">
        <v>87</v>
      </c>
      <c r="J28" s="177" t="s">
        <v>89</v>
      </c>
    </row>
    <row r="29" spans="1:10" ht="15">
      <c r="A29" t="s">
        <v>91</v>
      </c>
      <c r="B29" s="431">
        <f>'Consommation appareils'!Q37+'Consommation appareils'!Q40</f>
        <v>18.7964</v>
      </c>
      <c r="C29" t="s">
        <v>87</v>
      </c>
      <c r="J29" s="177" t="s">
        <v>89</v>
      </c>
    </row>
    <row r="30" spans="1:10" ht="15">
      <c r="A30" t="s">
        <v>92</v>
      </c>
      <c r="B30" s="431">
        <f>'Consommation appareils'!O138+'Consommation appareils'!O139</f>
        <v>5.8309999999999995</v>
      </c>
      <c r="C30" t="s">
        <v>87</v>
      </c>
      <c r="J30" s="177" t="s">
        <v>89</v>
      </c>
    </row>
    <row r="31" spans="1:3" ht="15">
      <c r="A31" t="s">
        <v>93</v>
      </c>
      <c r="B31" s="431">
        <f>'Consommation appareils'!O134+'Consommation appareils'!O135</f>
        <v>5.88</v>
      </c>
      <c r="C31" t="s">
        <v>87</v>
      </c>
    </row>
    <row r="32" spans="1:4" ht="15">
      <c r="A32" s="428" t="s">
        <v>94</v>
      </c>
      <c r="B32" s="429" t="s">
        <v>95</v>
      </c>
      <c r="C32" s="429"/>
      <c r="D32" s="429"/>
    </row>
    <row r="33" spans="1:10" ht="15">
      <c r="A33" t="s">
        <v>96</v>
      </c>
      <c r="B33" s="430">
        <f>'Consommation appareils'!J55</f>
        <v>235.2</v>
      </c>
      <c r="C33" t="s">
        <v>659</v>
      </c>
      <c r="J33" s="177" t="str">
        <f>'Consommation appareils'!W55</f>
        <v>ECUEL (Site Enertech); conso horaire moy 1200 Wh ; usage moy 34 min/j.</v>
      </c>
    </row>
    <row r="34" spans="1:10" ht="15">
      <c r="A34" t="s">
        <v>97</v>
      </c>
      <c r="B34" s="430">
        <f>'Consommation appareils'!J60</f>
        <v>198.94</v>
      </c>
      <c r="C34" t="s">
        <v>659</v>
      </c>
      <c r="J34" s="177" t="str">
        <f>'Consommation appareils'!W60</f>
        <v>ECUEL (Site Enertech), Conso moyenne horaire x tps utilisation moy 30 min/j</v>
      </c>
    </row>
    <row r="35" spans="1:10" ht="15">
      <c r="A35" t="s">
        <v>98</v>
      </c>
      <c r="B35" s="430">
        <f>'Consommation appareils'!J61</f>
        <v>171.5</v>
      </c>
      <c r="C35" t="s">
        <v>659</v>
      </c>
      <c r="J35" s="177" t="str">
        <f>'Consommation appareils'!W61</f>
        <v>ECUEL (Site Enertech), Conso moyenne horaire x tps utilisation moy 40 min/j (Temps d'utilisation de l'étude 45min revu à la baisse car pas représentatif dans le cas d'un changement d'équipement</v>
      </c>
    </row>
    <row r="36" spans="1:10" ht="15">
      <c r="A36" t="s">
        <v>99</v>
      </c>
      <c r="B36" s="430">
        <f>'Consommation appareils'!J62</f>
        <v>101.185</v>
      </c>
      <c r="C36" t="s">
        <v>659</v>
      </c>
      <c r="J36" s="177" t="str">
        <f>'Consommation appareils'!W62</f>
        <v>ECUEL (Site Enertech), Conso moyenne horaire x tps utilisation moy 40 min/j (Temps d'utilisation de l'étude 1h revu à la baisse car pas représentatif dans le cas d'un changement d'équipement</v>
      </c>
    </row>
    <row r="37" spans="1:10" ht="29.25" customHeight="1">
      <c r="A37" s="432" t="s">
        <v>100</v>
      </c>
      <c r="B37" s="433">
        <v>240</v>
      </c>
      <c r="C37" s="432" t="s">
        <v>659</v>
      </c>
      <c r="J37" s="434" t="s">
        <v>101</v>
      </c>
    </row>
    <row r="38" spans="1:10" ht="15">
      <c r="A38" s="429" t="s">
        <v>672</v>
      </c>
      <c r="B38" s="435">
        <v>350</v>
      </c>
      <c r="C38" s="429" t="s">
        <v>659</v>
      </c>
      <c r="D38" s="429"/>
      <c r="J38" s="177" t="s">
        <v>102</v>
      </c>
    </row>
    <row r="40" spans="4:9" ht="15">
      <c r="D40" s="543" t="s">
        <v>103</v>
      </c>
      <c r="E40" s="543"/>
      <c r="F40" s="543"/>
      <c r="G40" s="543"/>
      <c r="H40" s="543"/>
      <c r="I40" s="543"/>
    </row>
    <row r="41" spans="2:9" ht="34.5" customHeight="1">
      <c r="B41" s="544" t="s">
        <v>0</v>
      </c>
      <c r="C41" s="545" t="s">
        <v>1</v>
      </c>
      <c r="D41" s="544" t="s">
        <v>2</v>
      </c>
      <c r="E41" s="545" t="s">
        <v>1</v>
      </c>
      <c r="F41" s="545"/>
      <c r="G41" s="545" t="s">
        <v>3</v>
      </c>
      <c r="H41" s="545"/>
      <c r="I41" s="95"/>
    </row>
    <row r="42" spans="2:9" ht="30" customHeight="1">
      <c r="B42" s="544"/>
      <c r="C42" s="545"/>
      <c r="D42" s="544"/>
      <c r="E42" t="s">
        <v>4</v>
      </c>
      <c r="F42" t="s">
        <v>5</v>
      </c>
      <c r="G42" t="s">
        <v>4</v>
      </c>
      <c r="H42" t="s">
        <v>5</v>
      </c>
      <c r="I42" t="s">
        <v>6</v>
      </c>
    </row>
    <row r="43" spans="1:10" ht="15">
      <c r="A43" t="s">
        <v>749</v>
      </c>
      <c r="B43" s="430">
        <f>'Consommation appareils'!J46</f>
        <v>253</v>
      </c>
      <c r="C43" s="430">
        <f>'Consommation appareils'!J47</f>
        <v>160</v>
      </c>
      <c r="I43" t="s">
        <v>7</v>
      </c>
      <c r="J43" s="177" t="str">
        <f>'Consommation appareils'!W46</f>
        <v>AEE 2008 (Site Enertech)</v>
      </c>
    </row>
    <row r="44" spans="1:10" ht="15">
      <c r="A44" t="s">
        <v>598</v>
      </c>
      <c r="B44" s="430">
        <f>'Consommation appareils'!J49</f>
        <v>460</v>
      </c>
      <c r="C44" s="430">
        <f>'Consommation appareils'!J50</f>
        <v>210.24</v>
      </c>
      <c r="I44" t="s">
        <v>8</v>
      </c>
      <c r="J44" s="177" t="str">
        <f>'Consommation appareils'!W49</f>
        <v>AEE 2008 (Site Enertech)</v>
      </c>
    </row>
    <row r="45" spans="1:10" ht="15">
      <c r="A45" t="s">
        <v>600</v>
      </c>
      <c r="B45" s="430">
        <f>'Consommation appareils'!J52</f>
        <v>556</v>
      </c>
      <c r="C45" s="430">
        <f>'Consommation appareils'!J53</f>
        <v>248.784</v>
      </c>
      <c r="I45" t="s">
        <v>9</v>
      </c>
      <c r="J45" s="177" t="str">
        <f>'Consommation appareils'!W52</f>
        <v>AEE 2008 (Site Enertech)</v>
      </c>
    </row>
    <row r="46" spans="1:10" ht="15">
      <c r="A46" t="s">
        <v>10</v>
      </c>
      <c r="B46" s="430">
        <f>'Consommation appareils'!J37</f>
        <v>150.05759999999998</v>
      </c>
      <c r="C46" s="430">
        <f>'Consommation appareils'!J38</f>
        <v>129.59519999999998</v>
      </c>
      <c r="D46" s="177">
        <f>'Consommation appareils'!F38</f>
        <v>4.64</v>
      </c>
      <c r="E46" s="177">
        <f>'Consommation appareils'!H38</f>
        <v>0.57</v>
      </c>
      <c r="F46" s="177">
        <f>'Consommation appareils'!I38</f>
        <v>48</v>
      </c>
      <c r="G46" s="177">
        <f>'Consommation appareils'!H37</f>
        <v>0.66</v>
      </c>
      <c r="H46" s="177">
        <f>'Consommation appareils'!I37</f>
        <v>65</v>
      </c>
      <c r="J46" s="177" t="str">
        <f>'Consommation appareils'!W37</f>
        <v>Energie : AEE 2008 (Site Enertech) ; eau : estimé</v>
      </c>
    </row>
    <row r="47" spans="1:10" ht="15">
      <c r="A47" t="s">
        <v>11</v>
      </c>
      <c r="B47" s="430">
        <f>'Consommation appareils'!J40</f>
        <v>251.125</v>
      </c>
      <c r="C47" s="430">
        <f>'Consommation appareils'!J41</f>
        <v>170.765</v>
      </c>
      <c r="D47" s="177">
        <f>'Consommation appareils'!F41</f>
        <v>4.1</v>
      </c>
      <c r="E47" s="177">
        <f>'Consommation appareils'!H41</f>
        <v>0.85</v>
      </c>
      <c r="F47" s="177">
        <f>'Consommation appareils'!I41</f>
        <v>10</v>
      </c>
      <c r="G47" s="177">
        <f>'Consommation appareils'!H40</f>
        <v>1.25</v>
      </c>
      <c r="H47" s="177">
        <f>'Consommation appareils'!I40</f>
        <v>20</v>
      </c>
      <c r="J47" s="177" t="str">
        <f>'Consommation appareils'!W40</f>
        <v>Energie : AEE 2008 (Site Enertech) ; eau : estimé</v>
      </c>
    </row>
    <row r="48" spans="1:10" ht="15">
      <c r="A48" t="s">
        <v>12</v>
      </c>
      <c r="B48" s="430">
        <f>'Consommation appareils'!J42</f>
        <v>725.2</v>
      </c>
      <c r="C48" s="430">
        <f>'Consommation appareils'!J42</f>
        <v>725.2</v>
      </c>
      <c r="D48" s="177">
        <f>'Consommation appareils'!F42</f>
        <v>3.7</v>
      </c>
      <c r="E48" s="177">
        <f>'Consommation appareils'!H42</f>
        <v>4</v>
      </c>
      <c r="J48" s="177" t="str">
        <f>'Consommation appareils'!W43</f>
        <v>ECUEL (Site Enertech)</v>
      </c>
    </row>
    <row r="49" spans="1:10" ht="15">
      <c r="A49" s="18" t="s">
        <v>622</v>
      </c>
      <c r="B49" s="430">
        <f>'Consommation appareils'!J63</f>
        <v>57.16666666666666</v>
      </c>
      <c r="C49" s="436"/>
      <c r="D49" s="10"/>
      <c r="E49" s="10"/>
      <c r="J49" s="437" t="str">
        <f>'Consommation appareils'!W63</f>
        <v>Estimation de la durée de fonctionnement par EIE CAUE16 - consommation annuelle cohérente avec ECUEL</v>
      </c>
    </row>
    <row r="50" spans="1:10" ht="15">
      <c r="A50" s="18" t="s">
        <v>624</v>
      </c>
      <c r="B50" s="430">
        <f>'Consommation appareils'!J64</f>
        <v>34.300000000000004</v>
      </c>
      <c r="C50" s="436"/>
      <c r="D50" s="10"/>
      <c r="E50" s="10"/>
      <c r="J50" s="437" t="str">
        <f>'Consommation appareils'!W64</f>
        <v>Estimation de la durée de fonctionnement par EIE CAUE16 ; consommation annuelle cohérente avec ECUEL</v>
      </c>
    </row>
    <row r="51" spans="1:10" ht="15">
      <c r="A51" s="18" t="s">
        <v>630</v>
      </c>
      <c r="B51" s="430">
        <f>'Consommation appareils'!J66</f>
        <v>36.75</v>
      </c>
      <c r="C51" s="436"/>
      <c r="D51" s="10"/>
      <c r="E51" s="10"/>
      <c r="J51" s="437" t="str">
        <f>'Consommation appareils'!W66</f>
        <v>Estimation de la durée de fonctionnement par EIE CAUE16 ; consommation annuelle cohérente avec ECUEL</v>
      </c>
    </row>
    <row r="52" spans="1:10" ht="15">
      <c r="A52" s="18" t="s">
        <v>633</v>
      </c>
      <c r="B52" s="430">
        <f>'Consommation appareils'!J68</f>
        <v>31.85</v>
      </c>
      <c r="C52" s="436"/>
      <c r="D52" s="10"/>
      <c r="E52" s="10"/>
      <c r="J52" s="437" t="str">
        <f>'Consommation appareils'!W68</f>
        <v>Estimation de la durée de fonctionnement par EIE CAUE16</v>
      </c>
    </row>
    <row r="53" spans="1:10" ht="15">
      <c r="A53" t="s">
        <v>13</v>
      </c>
      <c r="B53" s="430">
        <f>'Consommation appareils'!J77</f>
        <v>122.6225</v>
      </c>
      <c r="C53" s="10"/>
      <c r="J53" s="177" t="str">
        <f>'Consommation appareils'!W77</f>
        <v>Remodece (site Enertech)- puissance et durée utilisation mesurées</v>
      </c>
    </row>
    <row r="54" spans="1:10" ht="15">
      <c r="A54" t="s">
        <v>14</v>
      </c>
      <c r="B54" s="430">
        <f>('Consommation appareils'!J79+'Consommation appareils'!J81)/2</f>
        <v>232.7255</v>
      </c>
      <c r="J54" s="177" t="s">
        <v>15</v>
      </c>
    </row>
    <row r="55" spans="1:10" ht="15">
      <c r="A55" t="s">
        <v>16</v>
      </c>
      <c r="B55" s="430">
        <f>'Consommation appareils'!J82</f>
        <v>161.896</v>
      </c>
      <c r="J55" s="177" t="str">
        <f>'Consommation appareils'!W82</f>
        <v>site topten</v>
      </c>
    </row>
    <row r="56" spans="1:10" ht="15">
      <c r="A56" t="s">
        <v>17</v>
      </c>
      <c r="B56" s="430">
        <f>('Consommation appareils'!J84+'Consommation appareils'!J85)/2</f>
        <v>502.15200000000004</v>
      </c>
      <c r="J56" s="177" t="s">
        <v>18</v>
      </c>
    </row>
    <row r="57" spans="1:10" ht="15">
      <c r="A57" t="s">
        <v>19</v>
      </c>
      <c r="B57" s="430">
        <f>'Consommation appareils'!J86</f>
        <v>278.2759</v>
      </c>
      <c r="J57" s="177" t="str">
        <f>'Consommation appareils'!W86</f>
        <v>Constaté sur le marché</v>
      </c>
    </row>
    <row r="58" spans="1:10" ht="15">
      <c r="A58" t="s">
        <v>20</v>
      </c>
      <c r="B58" s="438">
        <v>42</v>
      </c>
      <c r="J58" s="177" t="s">
        <v>649</v>
      </c>
    </row>
    <row r="59" spans="1:10" ht="15">
      <c r="A59" t="s">
        <v>21</v>
      </c>
      <c r="B59" s="430">
        <f>'Consommation appareils'!J98+'Consommation appareils'!J102</f>
        <v>240.1</v>
      </c>
      <c r="J59" s="177" t="s">
        <v>22</v>
      </c>
    </row>
    <row r="60" spans="1:10" ht="15">
      <c r="A60" t="s">
        <v>23</v>
      </c>
      <c r="B60" s="439">
        <v>91.3</v>
      </c>
      <c r="J60" s="177" t="s">
        <v>649</v>
      </c>
    </row>
    <row r="61" spans="1:10" ht="15">
      <c r="A61" t="s">
        <v>24</v>
      </c>
      <c r="B61" s="430">
        <f>'Consommation appareils'!J105</f>
        <v>54.88</v>
      </c>
      <c r="J61" s="177" t="str">
        <f>'Consommation appareils'!W105</f>
        <v>Remodece (site Enertech)</v>
      </c>
    </row>
    <row r="62" spans="1:10" ht="15">
      <c r="A62" t="s">
        <v>555</v>
      </c>
      <c r="B62" s="430">
        <f>'Consommation appareils'!J107</f>
        <v>78.84</v>
      </c>
      <c r="J62" s="177" t="str">
        <f>'Consommation appareils'!W107</f>
        <v>Remodece (site Enertech)</v>
      </c>
    </row>
    <row r="63" spans="1:10" ht="15">
      <c r="A63" t="s">
        <v>547</v>
      </c>
      <c r="B63" s="430">
        <f>'Consommation appareils'!J96</f>
        <v>18.865</v>
      </c>
      <c r="J63" s="177" t="str">
        <f>'Consommation appareils'!W96</f>
        <v>Remodece (site Enertech)</v>
      </c>
    </row>
    <row r="64" spans="1:10" ht="15">
      <c r="A64" t="s">
        <v>25</v>
      </c>
      <c r="B64" s="430">
        <f>'Consommation appareils'!J113</f>
        <v>25.403999999999996</v>
      </c>
      <c r="J64" s="177" t="str">
        <f>'Consommation appareils'!W113</f>
        <v>Mesure CAUE16</v>
      </c>
    </row>
    <row r="65" spans="1:10" ht="15">
      <c r="A65" t="s">
        <v>562</v>
      </c>
      <c r="B65" s="430">
        <f>'Consommation appareils'!J114</f>
        <v>4.9</v>
      </c>
      <c r="J65" s="177" t="str">
        <f>'Consommation appareils'!W114</f>
        <v>Mesure EIE CAUE16</v>
      </c>
    </row>
    <row r="66" spans="1:10" ht="15">
      <c r="A66" t="s">
        <v>540</v>
      </c>
      <c r="B66" s="430">
        <f>'Consommation appareils'!J90</f>
        <v>3.3614000000000006</v>
      </c>
      <c r="J66" s="177" t="str">
        <f>'Consommation appareils'!W90</f>
        <v>Remodece (site Enertech)- puissance et consommation fonctionnement - veille</v>
      </c>
    </row>
    <row r="67" spans="1:10" ht="15">
      <c r="A67" t="s">
        <v>535</v>
      </c>
      <c r="B67" s="440">
        <v>84.4</v>
      </c>
      <c r="J67" s="177" t="s">
        <v>649</v>
      </c>
    </row>
    <row r="69" spans="1:10" ht="15">
      <c r="A69" t="s">
        <v>26</v>
      </c>
      <c r="B69" s="440">
        <v>13</v>
      </c>
      <c r="J69" s="177" t="s">
        <v>649</v>
      </c>
    </row>
    <row r="70" spans="1:10" ht="15">
      <c r="A70" t="s">
        <v>27</v>
      </c>
      <c r="B70" s="440">
        <v>10</v>
      </c>
      <c r="J70" s="177" t="s">
        <v>649</v>
      </c>
    </row>
  </sheetData>
  <sheetProtection selectLockedCells="1" selectUnlockedCells="1"/>
  <mergeCells count="6">
    <mergeCell ref="D40:I40"/>
    <mergeCell ref="B41:B42"/>
    <mergeCell ref="C41:C42"/>
    <mergeCell ref="D41:D42"/>
    <mergeCell ref="E41:F41"/>
    <mergeCell ref="G41:H41"/>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Feuil9"/>
  <dimension ref="A1:K47"/>
  <sheetViews>
    <sheetView showGridLines="0" workbookViewId="0" topLeftCell="A1">
      <selection activeCell="H27" sqref="H27"/>
    </sheetView>
  </sheetViews>
  <sheetFormatPr defaultColWidth="11.421875" defaultRowHeight="15"/>
  <cols>
    <col min="1" max="1" width="25.28125" style="0" customWidth="1"/>
    <col min="2" max="2" width="13.8515625" style="0" customWidth="1"/>
    <col min="3" max="3" width="12.140625" style="0" customWidth="1"/>
    <col min="8" max="8" width="67.421875" style="0" customWidth="1"/>
    <col min="9" max="9" width="11.421875" style="0" customWidth="1"/>
    <col min="10" max="10" width="12.8515625" style="0" customWidth="1"/>
  </cols>
  <sheetData>
    <row r="1" ht="54.75">
      <c r="A1" s="441" t="s">
        <v>28</v>
      </c>
    </row>
    <row r="3" spans="1:4" ht="25.5">
      <c r="A3" s="245"/>
      <c r="B3" s="442" t="s">
        <v>766</v>
      </c>
      <c r="C3" s="443"/>
      <c r="D3" s="246"/>
    </row>
    <row r="5" spans="3:4" ht="15">
      <c r="C5" s="486" t="s">
        <v>780</v>
      </c>
      <c r="D5" s="486"/>
    </row>
    <row r="6" spans="1:4" ht="15">
      <c r="A6" s="15" t="s">
        <v>769</v>
      </c>
      <c r="B6" s="16"/>
      <c r="C6" s="217"/>
      <c r="D6" s="218"/>
    </row>
    <row r="7" spans="1:10" ht="15">
      <c r="A7" s="15" t="s">
        <v>771</v>
      </c>
      <c r="B7" s="16">
        <v>4</v>
      </c>
      <c r="C7" s="25"/>
      <c r="D7" s="227"/>
      <c r="H7" s="179"/>
      <c r="I7" s="179" t="s">
        <v>412</v>
      </c>
      <c r="J7" s="179" t="s">
        <v>411</v>
      </c>
    </row>
    <row r="8" spans="1:10" ht="15">
      <c r="A8" s="15" t="s">
        <v>772</v>
      </c>
      <c r="B8" s="24"/>
      <c r="C8" s="25"/>
      <c r="D8" s="227"/>
      <c r="H8" s="179" t="s">
        <v>777</v>
      </c>
      <c r="I8" s="179" t="s">
        <v>78</v>
      </c>
      <c r="J8" s="179" t="s">
        <v>78</v>
      </c>
    </row>
    <row r="9" spans="1:10" ht="15">
      <c r="A9" s="15" t="s">
        <v>777</v>
      </c>
      <c r="B9" s="27"/>
      <c r="C9" s="25"/>
      <c r="D9" s="227"/>
      <c r="H9" s="15" t="s">
        <v>79</v>
      </c>
      <c r="I9" s="15">
        <v>300</v>
      </c>
      <c r="J9" s="15">
        <v>200</v>
      </c>
    </row>
    <row r="10" spans="1:10" ht="15">
      <c r="A10" s="15" t="s">
        <v>779</v>
      </c>
      <c r="B10" s="24"/>
      <c r="C10" s="25"/>
      <c r="D10" s="227"/>
      <c r="H10" s="15" t="s">
        <v>81</v>
      </c>
      <c r="I10" s="15">
        <v>220</v>
      </c>
      <c r="J10" s="15">
        <v>140</v>
      </c>
    </row>
    <row r="11" spans="1:10" ht="15">
      <c r="A11" s="15" t="s">
        <v>781</v>
      </c>
      <c r="B11" s="30"/>
      <c r="C11" s="31" t="str">
        <f>IF(ISBLANK(B11)," ",IF(B11="électricité",VLOOKUP("elec HP",'Bases calculs conso habitat '!$A$2:$B$10,2)&amp;" "&amp;"HP",VLOOKUP(B11,'Bases calculs conso habitat '!$A$2:$B$10,2)))</f>
        <v> </v>
      </c>
      <c r="D11" s="31">
        <f>IF(B11="électricité",VLOOKUP("elec HC",'Bases calculs conso habitat '!$A$2:$B$7,2)&amp;" "&amp;"HC","")</f>
      </c>
      <c r="H11" s="15" t="s">
        <v>82</v>
      </c>
      <c r="I11" s="15">
        <v>120</v>
      </c>
      <c r="J11" s="15">
        <v>100</v>
      </c>
    </row>
    <row r="12" spans="1:10" ht="15">
      <c r="A12" s="444" t="s">
        <v>782</v>
      </c>
      <c r="B12" s="30"/>
      <c r="C12" s="34" t="str">
        <f>IF(ISBLANK(B12)," ",IF(B12="électricité",VLOOKUP("elec HP",'Bases calculs conso habitat '!$A$2:$B$10,2)&amp;" "&amp;"HP",VLOOKUP(B12,'Bases calculs conso habitat '!$A$2:$B$10,2)))</f>
        <v> </v>
      </c>
      <c r="D12" s="34">
        <f>IF(B12="électricité",VLOOKUP("elec HC",'Bases calculs conso habitat '!$A$2:$B$7,2)&amp;" "&amp;"HC","")</f>
      </c>
      <c r="H12" s="15" t="s">
        <v>83</v>
      </c>
      <c r="I12" s="15">
        <v>200</v>
      </c>
      <c r="J12" s="15"/>
    </row>
    <row r="13" spans="1:4" ht="15">
      <c r="A13" s="15" t="s">
        <v>783</v>
      </c>
      <c r="B13" s="30"/>
      <c r="C13" s="31" t="str">
        <f>IF(ISBLANK(B13)," ",IF(B13="électricité",VLOOKUP("elec HP",'Bases calculs conso habitat '!$A$2:$B$9,2)&amp;" "&amp;"HP",VLOOKUP(B13,'Bases calculs conso habitat '!$A$2:$B$9,2)))</f>
        <v> </v>
      </c>
      <c r="D13" s="31">
        <f>IF(B13="électricité",VLOOKUP("elec HC",'Bases calculs conso habitat '!$A$2:$B$9,2)&amp;" "&amp;"HC","")</f>
      </c>
    </row>
    <row r="14" spans="1:4" ht="15">
      <c r="A14" s="15" t="s">
        <v>784</v>
      </c>
      <c r="B14" s="30"/>
      <c r="C14" s="31" t="str">
        <f>IF(ISBLANK(B14)," ",IF(B14="électricité",VLOOKUP("elec HP",'Bases calculs conso habitat '!$A$2:$B$9,2)&amp;" "&amp;"HP",VLOOKUP(B14,'Bases calculs conso habitat '!$A$2:$B$9,2)))</f>
        <v> </v>
      </c>
      <c r="D14" s="31">
        <f>IF(B14="électricité",VLOOKUP("elec HC",'Bases calculs conso habitat '!$A$2:$B$9,2)&amp;" "&amp;"HC","")</f>
      </c>
    </row>
    <row r="15" spans="1:4" ht="15">
      <c r="A15" s="18"/>
      <c r="B15" s="445"/>
      <c r="C15" s="32"/>
      <c r="D15" s="32"/>
    </row>
    <row r="16" spans="1:4" ht="15">
      <c r="A16" s="18"/>
      <c r="B16" s="445"/>
      <c r="C16" s="32"/>
      <c r="D16" s="32"/>
    </row>
    <row r="17" spans="1:4" ht="15">
      <c r="A17" s="18"/>
      <c r="B17" s="445"/>
      <c r="C17" s="32"/>
      <c r="D17" s="32"/>
    </row>
    <row r="18" spans="1:4" ht="26.25" customHeight="1">
      <c r="A18" s="546" t="s">
        <v>29</v>
      </c>
      <c r="B18" s="546"/>
      <c r="C18" s="546"/>
      <c r="D18" s="32"/>
    </row>
    <row r="20" spans="1:3" ht="15">
      <c r="A20" s="179" t="s">
        <v>661</v>
      </c>
      <c r="B20" s="446" t="s">
        <v>659</v>
      </c>
      <c r="C20" s="447" t="s">
        <v>660</v>
      </c>
    </row>
    <row r="21" spans="1:3" ht="15">
      <c r="A21" s="15" t="s">
        <v>664</v>
      </c>
      <c r="B21" s="57"/>
      <c r="C21" s="448" t="s">
        <v>30</v>
      </c>
    </row>
    <row r="22" spans="1:4" ht="15">
      <c r="A22" s="15" t="s">
        <v>666</v>
      </c>
      <c r="B22" s="57"/>
      <c r="C22" s="448" t="s">
        <v>30</v>
      </c>
      <c r="D22" t="s">
        <v>85</v>
      </c>
    </row>
    <row r="23" spans="1:4" ht="15">
      <c r="A23" s="15" t="s">
        <v>667</v>
      </c>
      <c r="B23" s="57"/>
      <c r="C23" s="448" t="s">
        <v>30</v>
      </c>
      <c r="D23" t="s">
        <v>95</v>
      </c>
    </row>
    <row r="24" spans="1:4" ht="15">
      <c r="A24" s="15" t="s">
        <v>669</v>
      </c>
      <c r="B24" s="57">
        <v>1995.0158666666669</v>
      </c>
      <c r="C24" s="448"/>
      <c r="D24" t="s">
        <v>31</v>
      </c>
    </row>
    <row r="25" spans="1:4" ht="15">
      <c r="A25" s="449" t="s">
        <v>670</v>
      </c>
      <c r="B25" s="450">
        <v>368.796</v>
      </c>
      <c r="C25" s="451"/>
      <c r="D25" t="s">
        <v>32</v>
      </c>
    </row>
    <row r="26" spans="1:4" ht="15">
      <c r="A26" s="449" t="s">
        <v>703</v>
      </c>
      <c r="B26" s="450">
        <v>424.372</v>
      </c>
      <c r="C26" s="451"/>
      <c r="D26" t="s">
        <v>33</v>
      </c>
    </row>
    <row r="27" spans="1:4" ht="15">
      <c r="A27" s="449" t="s">
        <v>672</v>
      </c>
      <c r="B27" s="450">
        <v>350</v>
      </c>
      <c r="C27" s="451"/>
      <c r="D27" t="s">
        <v>34</v>
      </c>
    </row>
    <row r="28" spans="1:4" ht="15">
      <c r="A28" s="452" t="s">
        <v>673</v>
      </c>
      <c r="B28" s="453">
        <v>674.1811999999999</v>
      </c>
      <c r="C28" s="451"/>
      <c r="D28" s="432" t="s">
        <v>35</v>
      </c>
    </row>
    <row r="29" spans="1:4" ht="15">
      <c r="A29" s="449" t="s">
        <v>674</v>
      </c>
      <c r="B29" s="450">
        <v>177.66666666666669</v>
      </c>
      <c r="C29" s="451"/>
      <c r="D29" t="s">
        <v>36</v>
      </c>
    </row>
    <row r="30" spans="1:3" ht="15">
      <c r="A30" s="102" t="s">
        <v>675</v>
      </c>
      <c r="B30" s="454"/>
      <c r="C30" s="455"/>
    </row>
    <row r="31" spans="2:3" ht="15">
      <c r="B31" s="456"/>
      <c r="C31" s="456"/>
    </row>
    <row r="32" spans="2:3" ht="15">
      <c r="B32" s="456"/>
      <c r="C32" s="456"/>
    </row>
    <row r="33" spans="8:11" ht="15">
      <c r="H33" s="72"/>
      <c r="I33" s="457"/>
      <c r="J33" s="72"/>
      <c r="K33" s="458"/>
    </row>
    <row r="34" spans="1:11" ht="50.25" customHeight="1">
      <c r="A34" s="547" t="s">
        <v>657</v>
      </c>
      <c r="B34" s="547"/>
      <c r="C34" s="547"/>
      <c r="D34" s="547"/>
      <c r="E34" s="547"/>
      <c r="H34" s="72"/>
      <c r="I34" s="457"/>
      <c r="J34" s="72"/>
      <c r="K34" s="458"/>
    </row>
    <row r="35" spans="1:11" ht="15">
      <c r="A35" s="459"/>
      <c r="B35" s="460"/>
      <c r="C35" s="460"/>
      <c r="D35" s="460"/>
      <c r="E35" s="460"/>
      <c r="H35" s="426"/>
      <c r="I35" s="426"/>
      <c r="J35" s="426"/>
      <c r="K35" s="461"/>
    </row>
    <row r="36" spans="1:9" ht="42" customHeight="1">
      <c r="A36" s="391" t="s">
        <v>661</v>
      </c>
      <c r="B36" s="548" t="s">
        <v>37</v>
      </c>
      <c r="C36" s="548"/>
      <c r="D36" s="548" t="s">
        <v>663</v>
      </c>
      <c r="E36" s="548"/>
      <c r="H36" s="39"/>
      <c r="I36" s="40"/>
    </row>
    <row r="37" spans="1:5" ht="15">
      <c r="A37" s="462" t="s">
        <v>664</v>
      </c>
      <c r="B37" s="549"/>
      <c r="C37" s="549"/>
      <c r="D37" s="550"/>
      <c r="E37" s="550"/>
    </row>
    <row r="38" spans="1:8" ht="15">
      <c r="A38" s="462" t="s">
        <v>666</v>
      </c>
      <c r="B38" s="549"/>
      <c r="C38" s="549"/>
      <c r="D38" s="550"/>
      <c r="E38" s="550"/>
      <c r="F38" s="432" t="s">
        <v>38</v>
      </c>
      <c r="H38" s="432"/>
    </row>
    <row r="39" spans="1:6" ht="15">
      <c r="A39" s="463" t="s">
        <v>667</v>
      </c>
      <c r="B39" s="551"/>
      <c r="C39" s="551"/>
      <c r="D39" s="550"/>
      <c r="E39" s="550"/>
      <c r="F39" t="s">
        <v>39</v>
      </c>
    </row>
    <row r="40" spans="1:5" ht="15">
      <c r="A40" s="464" t="s">
        <v>669</v>
      </c>
      <c r="B40" s="549"/>
      <c r="C40" s="549"/>
      <c r="D40" s="550"/>
      <c r="E40" s="550"/>
    </row>
    <row r="41" spans="1:5" ht="15">
      <c r="A41" s="465"/>
      <c r="B41" s="552"/>
      <c r="C41" s="552"/>
      <c r="D41" s="553"/>
      <c r="E41" s="553"/>
    </row>
    <row r="42" spans="1:5" ht="15">
      <c r="A42" s="466"/>
      <c r="B42" s="554"/>
      <c r="C42" s="554"/>
      <c r="D42" s="554"/>
      <c r="E42" s="554"/>
    </row>
    <row r="43" spans="1:5" ht="15">
      <c r="A43" s="467"/>
      <c r="B43" s="554"/>
      <c r="C43" s="554"/>
      <c r="D43" s="554"/>
      <c r="E43" s="554"/>
    </row>
    <row r="44" spans="1:5" ht="15">
      <c r="A44" s="468"/>
      <c r="B44" s="554"/>
      <c r="C44" s="554"/>
      <c r="D44" s="554"/>
      <c r="E44" s="554"/>
    </row>
    <row r="45" spans="1:5" ht="15">
      <c r="A45" s="469"/>
      <c r="B45" s="555"/>
      <c r="C45" s="555"/>
      <c r="D45" s="555"/>
      <c r="E45" s="555"/>
    </row>
    <row r="46" spans="1:5" ht="15">
      <c r="A46" s="470" t="s">
        <v>675</v>
      </c>
      <c r="B46" s="556"/>
      <c r="C46" s="556"/>
      <c r="D46" s="557"/>
      <c r="E46" s="557"/>
    </row>
    <row r="47" ht="15">
      <c r="B47" s="10"/>
    </row>
  </sheetData>
  <sheetProtection sheet="1" objects="1" scenarios="1"/>
  <mergeCells count="25">
    <mergeCell ref="B45:C45"/>
    <mergeCell ref="D45:E45"/>
    <mergeCell ref="B46:C46"/>
    <mergeCell ref="D46:E46"/>
    <mergeCell ref="B43:C43"/>
    <mergeCell ref="D43:E43"/>
    <mergeCell ref="B44:C44"/>
    <mergeCell ref="D44:E44"/>
    <mergeCell ref="B41:C41"/>
    <mergeCell ref="D41:E41"/>
    <mergeCell ref="B42:C42"/>
    <mergeCell ref="D42:E42"/>
    <mergeCell ref="B39:C39"/>
    <mergeCell ref="D39:E39"/>
    <mergeCell ref="B40:C40"/>
    <mergeCell ref="D40:E40"/>
    <mergeCell ref="B37:C37"/>
    <mergeCell ref="D37:E37"/>
    <mergeCell ref="B38:C38"/>
    <mergeCell ref="D38:E38"/>
    <mergeCell ref="C5:D5"/>
    <mergeCell ref="A18:C18"/>
    <mergeCell ref="A34:E34"/>
    <mergeCell ref="B36:C36"/>
    <mergeCell ref="D36:E36"/>
  </mergeCells>
  <dataValidations count="4">
    <dataValidation showErrorMessage="1" sqref="B7">
      <formula1>0</formula1>
      <formula2>0</formula2>
    </dataValidation>
    <dataValidation type="list" allowBlank="1" showErrorMessage="1" sqref="B9">
      <formula1>niveauisolation</formula1>
      <formula2>0</formula2>
    </dataValidation>
    <dataValidation type="list" showErrorMessage="1" sqref="B6">
      <formula1>TypeHabitation</formula1>
      <formula2>0</formula2>
    </dataValidation>
    <dataValidation type="list" allowBlank="1" showErrorMessage="1" sqref="B11:B17">
      <formula1>Energie</formula1>
      <formula2>0</formula2>
    </dataValidation>
  </dataValidations>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